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ТСН-2001'!$A$1:$L$245</definedName>
    <definedName name="_xlnm.Print_Area" localSheetId="0">'Смета по ТСН-2001'!$A$1:$K$237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242" i="6"/>
  <c r="I239" i="6"/>
  <c r="D242" i="6"/>
  <c r="D239" i="6"/>
  <c r="K236" i="6"/>
  <c r="D236" i="6"/>
  <c r="K235" i="6"/>
  <c r="D235" i="6"/>
  <c r="K234" i="6"/>
  <c r="D234" i="6"/>
  <c r="I233" i="6"/>
  <c r="K233" i="6"/>
  <c r="I232" i="6"/>
  <c r="K232" i="6"/>
  <c r="I229" i="6"/>
  <c r="K229" i="6"/>
  <c r="I228" i="6"/>
  <c r="K228" i="6"/>
  <c r="AL227" i="6"/>
  <c r="A227" i="6"/>
  <c r="I225" i="6"/>
  <c r="K225" i="6"/>
  <c r="I224" i="6"/>
  <c r="K224" i="6"/>
  <c r="A223" i="6"/>
  <c r="Z221" i="6"/>
  <c r="Y221" i="6"/>
  <c r="X221" i="6"/>
  <c r="P221" i="6"/>
  <c r="L220" i="6"/>
  <c r="K221" i="6" s="1"/>
  <c r="K220" i="6"/>
  <c r="J220" i="6"/>
  <c r="I221" i="6" s="1"/>
  <c r="I220" i="6"/>
  <c r="H220" i="6"/>
  <c r="G220" i="6"/>
  <c r="V220" i="6"/>
  <c r="T220" i="6"/>
  <c r="R220" i="6"/>
  <c r="U220" i="6"/>
  <c r="S220" i="6"/>
  <c r="Q220" i="6"/>
  <c r="F220" i="6"/>
  <c r="E220" i="6"/>
  <c r="C220" i="6"/>
  <c r="B220" i="6"/>
  <c r="AA219" i="6"/>
  <c r="Z219" i="6"/>
  <c r="X219" i="6"/>
  <c r="P219" i="6"/>
  <c r="L218" i="6"/>
  <c r="K219" i="6" s="1"/>
  <c r="K218" i="6"/>
  <c r="J218" i="6"/>
  <c r="I219" i="6" s="1"/>
  <c r="I218" i="6"/>
  <c r="H218" i="6"/>
  <c r="G218" i="6"/>
  <c r="V218" i="6"/>
  <c r="T218" i="6"/>
  <c r="R218" i="6"/>
  <c r="U218" i="6"/>
  <c r="S218" i="6"/>
  <c r="Q218" i="6"/>
  <c r="F218" i="6"/>
  <c r="E218" i="6"/>
  <c r="C218" i="6"/>
  <c r="B218" i="6"/>
  <c r="AA217" i="6"/>
  <c r="Z217" i="6"/>
  <c r="X217" i="6"/>
  <c r="P217" i="6"/>
  <c r="L216" i="6"/>
  <c r="K217" i="6" s="1"/>
  <c r="K216" i="6"/>
  <c r="J216" i="6"/>
  <c r="I217" i="6" s="1"/>
  <c r="I216" i="6"/>
  <c r="H216" i="6"/>
  <c r="G216" i="6"/>
  <c r="V216" i="6"/>
  <c r="T216" i="6"/>
  <c r="R216" i="6"/>
  <c r="U216" i="6"/>
  <c r="S216" i="6"/>
  <c r="Q216" i="6"/>
  <c r="F216" i="6"/>
  <c r="E216" i="6"/>
  <c r="C216" i="6"/>
  <c r="B216" i="6"/>
  <c r="AA215" i="6"/>
  <c r="Z215" i="6"/>
  <c r="Y215" i="6"/>
  <c r="X215" i="6"/>
  <c r="O215" i="6"/>
  <c r="P215" i="6"/>
  <c r="D214" i="6"/>
  <c r="L213" i="6"/>
  <c r="K215" i="6" s="1"/>
  <c r="K213" i="6"/>
  <c r="J213" i="6"/>
  <c r="I215" i="6" s="1"/>
  <c r="I213" i="6"/>
  <c r="H213" i="6"/>
  <c r="G213" i="6"/>
  <c r="V213" i="6"/>
  <c r="T213" i="6"/>
  <c r="R213" i="6"/>
  <c r="U213" i="6"/>
  <c r="S213" i="6"/>
  <c r="Q213" i="6"/>
  <c r="F213" i="6"/>
  <c r="E213" i="6"/>
  <c r="C213" i="6"/>
  <c r="B213" i="6"/>
  <c r="AA212" i="6"/>
  <c r="Z212" i="6"/>
  <c r="X212" i="6"/>
  <c r="D211" i="6"/>
  <c r="L210" i="6"/>
  <c r="P212" i="6" s="1"/>
  <c r="K223" i="6" s="1"/>
  <c r="K210" i="6"/>
  <c r="J210" i="6"/>
  <c r="I210" i="6"/>
  <c r="H210" i="6"/>
  <c r="G210" i="6"/>
  <c r="V210" i="6"/>
  <c r="T210" i="6"/>
  <c r="R210" i="6"/>
  <c r="U210" i="6"/>
  <c r="S210" i="6"/>
  <c r="Q210" i="6"/>
  <c r="F210" i="6"/>
  <c r="E210" i="6"/>
  <c r="C210" i="6"/>
  <c r="B210" i="6"/>
  <c r="A209" i="6"/>
  <c r="I207" i="6"/>
  <c r="K207" i="6"/>
  <c r="I206" i="6"/>
  <c r="K206" i="6"/>
  <c r="A205" i="6"/>
  <c r="Z203" i="6"/>
  <c r="Y203" i="6"/>
  <c r="X203" i="6"/>
  <c r="J202" i="6"/>
  <c r="I202" i="6"/>
  <c r="H202" i="6"/>
  <c r="F202" i="6"/>
  <c r="K201" i="6"/>
  <c r="J201" i="6"/>
  <c r="F201" i="6"/>
  <c r="L200" i="6"/>
  <c r="K200" i="6"/>
  <c r="F200" i="6"/>
  <c r="L199" i="6"/>
  <c r="K199" i="6"/>
  <c r="W199" i="6"/>
  <c r="J199" i="6"/>
  <c r="I199" i="6"/>
  <c r="H199" i="6"/>
  <c r="G199" i="6"/>
  <c r="V198" i="6"/>
  <c r="T198" i="6"/>
  <c r="L201" i="6" s="1"/>
  <c r="P203" i="6" s="1"/>
  <c r="R198" i="6"/>
  <c r="U198" i="6"/>
  <c r="S198" i="6"/>
  <c r="Q198" i="6"/>
  <c r="J200" i="6" s="1"/>
  <c r="F198" i="6"/>
  <c r="E198" i="6"/>
  <c r="C198" i="6"/>
  <c r="B198" i="6"/>
  <c r="Z197" i="6"/>
  <c r="Y197" i="6"/>
  <c r="X197" i="6"/>
  <c r="J196" i="6"/>
  <c r="I196" i="6"/>
  <c r="H196" i="6"/>
  <c r="F196" i="6"/>
  <c r="K195" i="6"/>
  <c r="F195" i="6"/>
  <c r="K194" i="6"/>
  <c r="F194" i="6"/>
  <c r="L193" i="6"/>
  <c r="K193" i="6"/>
  <c r="J193" i="6"/>
  <c r="I193" i="6"/>
  <c r="H193" i="6"/>
  <c r="G193" i="6"/>
  <c r="V192" i="6"/>
  <c r="T192" i="6"/>
  <c r="L195" i="6" s="1"/>
  <c r="K197" i="6" s="1"/>
  <c r="R192" i="6"/>
  <c r="L194" i="6" s="1"/>
  <c r="U192" i="6"/>
  <c r="S192" i="6"/>
  <c r="J195" i="6" s="1"/>
  <c r="Q192" i="6"/>
  <c r="J194" i="6" s="1"/>
  <c r="F192" i="6"/>
  <c r="E192" i="6"/>
  <c r="C192" i="6"/>
  <c r="B192" i="6"/>
  <c r="Z191" i="6"/>
  <c r="Y191" i="6"/>
  <c r="X191" i="6"/>
  <c r="J190" i="6"/>
  <c r="I190" i="6"/>
  <c r="H190" i="6"/>
  <c r="F190" i="6"/>
  <c r="K189" i="6"/>
  <c r="J189" i="6"/>
  <c r="F189" i="6"/>
  <c r="L188" i="6"/>
  <c r="K188" i="6"/>
  <c r="F188" i="6"/>
  <c r="L187" i="6"/>
  <c r="K187" i="6"/>
  <c r="W187" i="6"/>
  <c r="J187" i="6"/>
  <c r="I187" i="6"/>
  <c r="H187" i="6"/>
  <c r="G187" i="6"/>
  <c r="V186" i="6"/>
  <c r="T186" i="6"/>
  <c r="L189" i="6" s="1"/>
  <c r="P191" i="6" s="1"/>
  <c r="R186" i="6"/>
  <c r="U186" i="6"/>
  <c r="S186" i="6"/>
  <c r="Q186" i="6"/>
  <c r="J188" i="6" s="1"/>
  <c r="F186" i="6"/>
  <c r="E186" i="6"/>
  <c r="C186" i="6"/>
  <c r="B186" i="6"/>
  <c r="Z185" i="6"/>
  <c r="Y185" i="6"/>
  <c r="X185" i="6"/>
  <c r="J184" i="6"/>
  <c r="I184" i="6"/>
  <c r="H184" i="6"/>
  <c r="F184" i="6"/>
  <c r="K183" i="6"/>
  <c r="F183" i="6"/>
  <c r="K182" i="6"/>
  <c r="F182" i="6"/>
  <c r="L181" i="6"/>
  <c r="K181" i="6"/>
  <c r="J181" i="6"/>
  <c r="I181" i="6"/>
  <c r="H181" i="6"/>
  <c r="G181" i="6"/>
  <c r="V180" i="6"/>
  <c r="T180" i="6"/>
  <c r="L183" i="6" s="1"/>
  <c r="K185" i="6" s="1"/>
  <c r="R180" i="6"/>
  <c r="L182" i="6" s="1"/>
  <c r="U180" i="6"/>
  <c r="S180" i="6"/>
  <c r="J183" i="6" s="1"/>
  <c r="Q180" i="6"/>
  <c r="J182" i="6" s="1"/>
  <c r="F180" i="6"/>
  <c r="E180" i="6"/>
  <c r="C180" i="6"/>
  <c r="B180" i="6"/>
  <c r="Z179" i="6"/>
  <c r="Y179" i="6"/>
  <c r="X179" i="6"/>
  <c r="J178" i="6"/>
  <c r="I178" i="6"/>
  <c r="H178" i="6"/>
  <c r="F178" i="6"/>
  <c r="K177" i="6"/>
  <c r="J177" i="6"/>
  <c r="F177" i="6"/>
  <c r="L176" i="6"/>
  <c r="K176" i="6"/>
  <c r="F176" i="6"/>
  <c r="L175" i="6"/>
  <c r="K175" i="6"/>
  <c r="W175" i="6"/>
  <c r="J175" i="6"/>
  <c r="I175" i="6"/>
  <c r="H175" i="6"/>
  <c r="G175" i="6"/>
  <c r="V174" i="6"/>
  <c r="T174" i="6"/>
  <c r="L177" i="6" s="1"/>
  <c r="P179" i="6" s="1"/>
  <c r="R174" i="6"/>
  <c r="U174" i="6"/>
  <c r="S174" i="6"/>
  <c r="Q174" i="6"/>
  <c r="J176" i="6" s="1"/>
  <c r="F174" i="6"/>
  <c r="E174" i="6"/>
  <c r="C174" i="6"/>
  <c r="B174" i="6"/>
  <c r="Z173" i="6"/>
  <c r="Y173" i="6"/>
  <c r="X173" i="6"/>
  <c r="J172" i="6"/>
  <c r="I172" i="6"/>
  <c r="H172" i="6"/>
  <c r="F172" i="6"/>
  <c r="K171" i="6"/>
  <c r="F171" i="6"/>
  <c r="K170" i="6"/>
  <c r="F170" i="6"/>
  <c r="L169" i="6"/>
  <c r="K169" i="6"/>
  <c r="J169" i="6"/>
  <c r="I169" i="6"/>
  <c r="H169" i="6"/>
  <c r="G169" i="6"/>
  <c r="V168" i="6"/>
  <c r="T168" i="6"/>
  <c r="L171" i="6" s="1"/>
  <c r="K173" i="6" s="1"/>
  <c r="R168" i="6"/>
  <c r="L170" i="6" s="1"/>
  <c r="U168" i="6"/>
  <c r="S168" i="6"/>
  <c r="J171" i="6" s="1"/>
  <c r="Q168" i="6"/>
  <c r="J170" i="6" s="1"/>
  <c r="F168" i="6"/>
  <c r="E168" i="6"/>
  <c r="C168" i="6"/>
  <c r="B168" i="6"/>
  <c r="Z167" i="6"/>
  <c r="Y167" i="6"/>
  <c r="X167" i="6"/>
  <c r="J166" i="6"/>
  <c r="I166" i="6"/>
  <c r="H166" i="6"/>
  <c r="F166" i="6"/>
  <c r="K165" i="6"/>
  <c r="J165" i="6"/>
  <c r="F165" i="6"/>
  <c r="L164" i="6"/>
  <c r="K164" i="6"/>
  <c r="F164" i="6"/>
  <c r="L163" i="6"/>
  <c r="K163" i="6"/>
  <c r="W163" i="6"/>
  <c r="J163" i="6"/>
  <c r="I163" i="6"/>
  <c r="H163" i="6"/>
  <c r="G163" i="6"/>
  <c r="V162" i="6"/>
  <c r="T162" i="6"/>
  <c r="L165" i="6" s="1"/>
  <c r="P167" i="6" s="1"/>
  <c r="R162" i="6"/>
  <c r="U162" i="6"/>
  <c r="S162" i="6"/>
  <c r="Q162" i="6"/>
  <c r="J164" i="6" s="1"/>
  <c r="F162" i="6"/>
  <c r="E162" i="6"/>
  <c r="C162" i="6"/>
  <c r="B162" i="6"/>
  <c r="Z161" i="6"/>
  <c r="Y161" i="6"/>
  <c r="X161" i="6"/>
  <c r="J160" i="6"/>
  <c r="I160" i="6"/>
  <c r="H160" i="6"/>
  <c r="F160" i="6"/>
  <c r="K159" i="6"/>
  <c r="F159" i="6"/>
  <c r="K158" i="6"/>
  <c r="F158" i="6"/>
  <c r="L157" i="6"/>
  <c r="K157" i="6"/>
  <c r="J157" i="6"/>
  <c r="I157" i="6"/>
  <c r="H157" i="6"/>
  <c r="G157" i="6"/>
  <c r="V156" i="6"/>
  <c r="T156" i="6"/>
  <c r="L159" i="6" s="1"/>
  <c r="K161" i="6" s="1"/>
  <c r="R156" i="6"/>
  <c r="L158" i="6" s="1"/>
  <c r="U156" i="6"/>
  <c r="S156" i="6"/>
  <c r="J159" i="6" s="1"/>
  <c r="Q156" i="6"/>
  <c r="J158" i="6" s="1"/>
  <c r="F156" i="6"/>
  <c r="E156" i="6"/>
  <c r="C156" i="6"/>
  <c r="B156" i="6"/>
  <c r="Z155" i="6"/>
  <c r="Y155" i="6"/>
  <c r="X155" i="6"/>
  <c r="J154" i="6"/>
  <c r="I154" i="6"/>
  <c r="H154" i="6"/>
  <c r="F154" i="6"/>
  <c r="K153" i="6"/>
  <c r="J153" i="6"/>
  <c r="F153" i="6"/>
  <c r="L152" i="6"/>
  <c r="K152" i="6"/>
  <c r="F152" i="6"/>
  <c r="L151" i="6"/>
  <c r="K151" i="6"/>
  <c r="W151" i="6"/>
  <c r="J151" i="6"/>
  <c r="I151" i="6"/>
  <c r="H151" i="6"/>
  <c r="G151" i="6"/>
  <c r="V150" i="6"/>
  <c r="T150" i="6"/>
  <c r="L153" i="6" s="1"/>
  <c r="P155" i="6" s="1"/>
  <c r="R150" i="6"/>
  <c r="U150" i="6"/>
  <c r="S150" i="6"/>
  <c r="Q150" i="6"/>
  <c r="J152" i="6" s="1"/>
  <c r="F150" i="6"/>
  <c r="E150" i="6"/>
  <c r="C150" i="6"/>
  <c r="B150" i="6"/>
  <c r="A149" i="6"/>
  <c r="I147" i="6"/>
  <c r="K147" i="6"/>
  <c r="I146" i="6"/>
  <c r="K146" i="6"/>
  <c r="A145" i="6"/>
  <c r="AA143" i="6"/>
  <c r="Z143" i="6"/>
  <c r="X143" i="6"/>
  <c r="J142" i="6"/>
  <c r="I142" i="6"/>
  <c r="H142" i="6"/>
  <c r="F142" i="6"/>
  <c r="K141" i="6"/>
  <c r="F141" i="6"/>
  <c r="K140" i="6"/>
  <c r="F140" i="6"/>
  <c r="L139" i="6"/>
  <c r="K139" i="6"/>
  <c r="J139" i="6"/>
  <c r="I139" i="6"/>
  <c r="H139" i="6"/>
  <c r="G139" i="6"/>
  <c r="L138" i="6"/>
  <c r="K138" i="6"/>
  <c r="J138" i="6"/>
  <c r="I138" i="6"/>
  <c r="H138" i="6"/>
  <c r="G138" i="6"/>
  <c r="D137" i="6"/>
  <c r="V136" i="6"/>
  <c r="T136" i="6"/>
  <c r="L141" i="6" s="1"/>
  <c r="R136" i="6"/>
  <c r="L140" i="6" s="1"/>
  <c r="K143" i="6" s="1"/>
  <c r="U136" i="6"/>
  <c r="S136" i="6"/>
  <c r="J141" i="6" s="1"/>
  <c r="Q136" i="6"/>
  <c r="J140" i="6" s="1"/>
  <c r="F136" i="6"/>
  <c r="E136" i="6"/>
  <c r="C136" i="6"/>
  <c r="B136" i="6"/>
  <c r="AA135" i="6"/>
  <c r="Z135" i="6"/>
  <c r="X135" i="6"/>
  <c r="J134" i="6"/>
  <c r="I134" i="6"/>
  <c r="H134" i="6"/>
  <c r="F134" i="6"/>
  <c r="K133" i="6"/>
  <c r="F133" i="6"/>
  <c r="K132" i="6"/>
  <c r="F132" i="6"/>
  <c r="K131" i="6"/>
  <c r="F131" i="6"/>
  <c r="L130" i="6"/>
  <c r="K130" i="6"/>
  <c r="J130" i="6"/>
  <c r="I130" i="6"/>
  <c r="H130" i="6"/>
  <c r="G130" i="6"/>
  <c r="L129" i="6"/>
  <c r="K129" i="6"/>
  <c r="J129" i="6"/>
  <c r="W129" i="6" s="1"/>
  <c r="I129" i="6"/>
  <c r="H129" i="6"/>
  <c r="G129" i="6"/>
  <c r="L128" i="6"/>
  <c r="K128" i="6"/>
  <c r="J128" i="6"/>
  <c r="I135" i="6" s="1"/>
  <c r="I128" i="6"/>
  <c r="H128" i="6"/>
  <c r="G128" i="6"/>
  <c r="L127" i="6"/>
  <c r="K127" i="6"/>
  <c r="W127" i="6"/>
  <c r="J127" i="6"/>
  <c r="I127" i="6"/>
  <c r="H127" i="6"/>
  <c r="G127" i="6"/>
  <c r="D126" i="6"/>
  <c r="V125" i="6"/>
  <c r="L133" i="6" s="1"/>
  <c r="T125" i="6"/>
  <c r="L132" i="6" s="1"/>
  <c r="R125" i="6"/>
  <c r="L131" i="6" s="1"/>
  <c r="U125" i="6"/>
  <c r="J133" i="6" s="1"/>
  <c r="S125" i="6"/>
  <c r="J132" i="6" s="1"/>
  <c r="Q125" i="6"/>
  <c r="J131" i="6" s="1"/>
  <c r="F125" i="6"/>
  <c r="E125" i="6"/>
  <c r="C125" i="6"/>
  <c r="B125" i="6"/>
  <c r="AA124" i="6"/>
  <c r="Z124" i="6"/>
  <c r="X124" i="6"/>
  <c r="J123" i="6"/>
  <c r="I123" i="6"/>
  <c r="H123" i="6"/>
  <c r="F123" i="6"/>
  <c r="L122" i="6"/>
  <c r="K122" i="6"/>
  <c r="J122" i="6"/>
  <c r="F122" i="6"/>
  <c r="L121" i="6"/>
  <c r="K121" i="6"/>
  <c r="J121" i="6"/>
  <c r="F121" i="6"/>
  <c r="L120" i="6"/>
  <c r="K120" i="6"/>
  <c r="J120" i="6"/>
  <c r="F120" i="6"/>
  <c r="L119" i="6"/>
  <c r="P124" i="6" s="1"/>
  <c r="K119" i="6"/>
  <c r="J119" i="6"/>
  <c r="Y124" i="6" s="1"/>
  <c r="I119" i="6"/>
  <c r="H119" i="6"/>
  <c r="G119" i="6"/>
  <c r="L118" i="6"/>
  <c r="K118" i="6"/>
  <c r="W118" i="6"/>
  <c r="J118" i="6"/>
  <c r="I118" i="6"/>
  <c r="H118" i="6"/>
  <c r="G118" i="6"/>
  <c r="L117" i="6"/>
  <c r="K117" i="6"/>
  <c r="J117" i="6"/>
  <c r="I117" i="6"/>
  <c r="H117" i="6"/>
  <c r="G117" i="6"/>
  <c r="L116" i="6"/>
  <c r="K116" i="6"/>
  <c r="J116" i="6"/>
  <c r="I116" i="6"/>
  <c r="H116" i="6"/>
  <c r="G116" i="6"/>
  <c r="D115" i="6"/>
  <c r="V114" i="6"/>
  <c r="T114" i="6"/>
  <c r="R114" i="6"/>
  <c r="U114" i="6"/>
  <c r="S114" i="6"/>
  <c r="Q114" i="6"/>
  <c r="F114" i="6"/>
  <c r="E114" i="6"/>
  <c r="C114" i="6"/>
  <c r="B114" i="6"/>
  <c r="AA113" i="6"/>
  <c r="Z113" i="6"/>
  <c r="X113" i="6"/>
  <c r="J112" i="6"/>
  <c r="I112" i="6"/>
  <c r="H112" i="6"/>
  <c r="F112" i="6"/>
  <c r="K111" i="6"/>
  <c r="F111" i="6"/>
  <c r="K110" i="6"/>
  <c r="F110" i="6"/>
  <c r="K109" i="6"/>
  <c r="J109" i="6"/>
  <c r="F109" i="6"/>
  <c r="L108" i="6"/>
  <c r="K108" i="6"/>
  <c r="J108" i="6"/>
  <c r="I108" i="6"/>
  <c r="H108" i="6"/>
  <c r="G108" i="6"/>
  <c r="L107" i="6"/>
  <c r="K107" i="6"/>
  <c r="W107" i="6"/>
  <c r="J107" i="6"/>
  <c r="I107" i="6"/>
  <c r="H107" i="6"/>
  <c r="G107" i="6"/>
  <c r="L106" i="6"/>
  <c r="K106" i="6"/>
  <c r="J106" i="6"/>
  <c r="I106" i="6"/>
  <c r="H106" i="6"/>
  <c r="G106" i="6"/>
  <c r="L105" i="6"/>
  <c r="K105" i="6"/>
  <c r="J105" i="6"/>
  <c r="I105" i="6"/>
  <c r="H105" i="6"/>
  <c r="G105" i="6"/>
  <c r="V104" i="6"/>
  <c r="L111" i="6" s="1"/>
  <c r="T104" i="6"/>
  <c r="L110" i="6" s="1"/>
  <c r="R104" i="6"/>
  <c r="L109" i="6" s="1"/>
  <c r="U104" i="6"/>
  <c r="J111" i="6" s="1"/>
  <c r="S104" i="6"/>
  <c r="J110" i="6" s="1"/>
  <c r="Q104" i="6"/>
  <c r="F104" i="6"/>
  <c r="E104" i="6"/>
  <c r="C104" i="6"/>
  <c r="B104" i="6"/>
  <c r="AA103" i="6"/>
  <c r="Z103" i="6"/>
  <c r="X103" i="6"/>
  <c r="J102" i="6"/>
  <c r="I102" i="6"/>
  <c r="H102" i="6"/>
  <c r="F102" i="6"/>
  <c r="L101" i="6"/>
  <c r="K101" i="6"/>
  <c r="F101" i="6"/>
  <c r="K100" i="6"/>
  <c r="J100" i="6"/>
  <c r="F100" i="6"/>
  <c r="L99" i="6"/>
  <c r="K99" i="6"/>
  <c r="F99" i="6"/>
  <c r="L98" i="6"/>
  <c r="K98" i="6"/>
  <c r="W98" i="6"/>
  <c r="J98" i="6"/>
  <c r="I98" i="6"/>
  <c r="H98" i="6"/>
  <c r="G98" i="6"/>
  <c r="L97" i="6"/>
  <c r="K97" i="6"/>
  <c r="J97" i="6"/>
  <c r="I97" i="6"/>
  <c r="H97" i="6"/>
  <c r="G97" i="6"/>
  <c r="L96" i="6"/>
  <c r="K96" i="6"/>
  <c r="J96" i="6"/>
  <c r="I96" i="6"/>
  <c r="H96" i="6"/>
  <c r="G96" i="6"/>
  <c r="D95" i="6"/>
  <c r="V94" i="6"/>
  <c r="T94" i="6"/>
  <c r="L100" i="6" s="1"/>
  <c r="R94" i="6"/>
  <c r="U94" i="6"/>
  <c r="J101" i="6" s="1"/>
  <c r="S94" i="6"/>
  <c r="Q94" i="6"/>
  <c r="J99" i="6" s="1"/>
  <c r="F94" i="6"/>
  <c r="E94" i="6"/>
  <c r="C94" i="6"/>
  <c r="B94" i="6"/>
  <c r="AA93" i="6"/>
  <c r="Z93" i="6"/>
  <c r="X93" i="6"/>
  <c r="J92" i="6"/>
  <c r="I92" i="6"/>
  <c r="H92" i="6"/>
  <c r="F92" i="6"/>
  <c r="K91" i="6"/>
  <c r="F91" i="6"/>
  <c r="K90" i="6"/>
  <c r="F90" i="6"/>
  <c r="K89" i="6"/>
  <c r="F89" i="6"/>
  <c r="L88" i="6"/>
  <c r="K88" i="6"/>
  <c r="J88" i="6"/>
  <c r="I88" i="6"/>
  <c r="H88" i="6"/>
  <c r="G88" i="6"/>
  <c r="L87" i="6"/>
  <c r="K87" i="6"/>
  <c r="J87" i="6"/>
  <c r="W87" i="6" s="1"/>
  <c r="I87" i="6"/>
  <c r="H87" i="6"/>
  <c r="G87" i="6"/>
  <c r="L86" i="6"/>
  <c r="K86" i="6"/>
  <c r="J86" i="6"/>
  <c r="I86" i="6"/>
  <c r="H86" i="6"/>
  <c r="G86" i="6"/>
  <c r="L85" i="6"/>
  <c r="K85" i="6"/>
  <c r="W85" i="6"/>
  <c r="J85" i="6"/>
  <c r="I85" i="6"/>
  <c r="H85" i="6"/>
  <c r="G85" i="6"/>
  <c r="D84" i="6"/>
  <c r="V83" i="6"/>
  <c r="L91" i="6" s="1"/>
  <c r="T83" i="6"/>
  <c r="L90" i="6" s="1"/>
  <c r="R83" i="6"/>
  <c r="L89" i="6" s="1"/>
  <c r="U83" i="6"/>
  <c r="J91" i="6" s="1"/>
  <c r="S83" i="6"/>
  <c r="J90" i="6" s="1"/>
  <c r="Q83" i="6"/>
  <c r="J89" i="6" s="1"/>
  <c r="F83" i="6"/>
  <c r="E83" i="6"/>
  <c r="C83" i="6"/>
  <c r="B83" i="6"/>
  <c r="AA82" i="6"/>
  <c r="Z82" i="6"/>
  <c r="X82" i="6"/>
  <c r="J81" i="6"/>
  <c r="I81" i="6"/>
  <c r="H81" i="6"/>
  <c r="F81" i="6"/>
  <c r="L80" i="6"/>
  <c r="K80" i="6"/>
  <c r="F80" i="6"/>
  <c r="K79" i="6"/>
  <c r="J79" i="6"/>
  <c r="F79" i="6"/>
  <c r="L78" i="6"/>
  <c r="K78" i="6"/>
  <c r="F78" i="6"/>
  <c r="L77" i="6"/>
  <c r="K77" i="6"/>
  <c r="J77" i="6"/>
  <c r="I77" i="6"/>
  <c r="H77" i="6"/>
  <c r="G77" i="6"/>
  <c r="L76" i="6"/>
  <c r="K76" i="6"/>
  <c r="W76" i="6"/>
  <c r="J76" i="6"/>
  <c r="I76" i="6"/>
  <c r="H76" i="6"/>
  <c r="G76" i="6"/>
  <c r="L75" i="6"/>
  <c r="K75" i="6"/>
  <c r="J75" i="6"/>
  <c r="I75" i="6"/>
  <c r="H75" i="6"/>
  <c r="G75" i="6"/>
  <c r="L74" i="6"/>
  <c r="K74" i="6"/>
  <c r="J74" i="6"/>
  <c r="I74" i="6"/>
  <c r="H74" i="6"/>
  <c r="G74" i="6"/>
  <c r="D73" i="6"/>
  <c r="V72" i="6"/>
  <c r="T72" i="6"/>
  <c r="L79" i="6" s="1"/>
  <c r="R72" i="6"/>
  <c r="U72" i="6"/>
  <c r="J80" i="6" s="1"/>
  <c r="S72" i="6"/>
  <c r="Q72" i="6"/>
  <c r="J78" i="6" s="1"/>
  <c r="F72" i="6"/>
  <c r="E72" i="6"/>
  <c r="C72" i="6"/>
  <c r="B72" i="6"/>
  <c r="AA71" i="6"/>
  <c r="Z71" i="6"/>
  <c r="X71" i="6"/>
  <c r="J70" i="6"/>
  <c r="I70" i="6"/>
  <c r="H70" i="6"/>
  <c r="F70" i="6"/>
  <c r="K69" i="6"/>
  <c r="F69" i="6"/>
  <c r="K68" i="6"/>
  <c r="F68" i="6"/>
  <c r="K67" i="6"/>
  <c r="F67" i="6"/>
  <c r="L66" i="6"/>
  <c r="K66" i="6"/>
  <c r="J66" i="6"/>
  <c r="W66" i="6" s="1"/>
  <c r="I66" i="6"/>
  <c r="H66" i="6"/>
  <c r="G66" i="6"/>
  <c r="L65" i="6"/>
  <c r="K65" i="6"/>
  <c r="J65" i="6"/>
  <c r="I65" i="6"/>
  <c r="H65" i="6"/>
  <c r="G65" i="6"/>
  <c r="L64" i="6"/>
  <c r="K64" i="6"/>
  <c r="W64" i="6"/>
  <c r="J64" i="6"/>
  <c r="I64" i="6"/>
  <c r="H64" i="6"/>
  <c r="G64" i="6"/>
  <c r="V63" i="6"/>
  <c r="L69" i="6" s="1"/>
  <c r="T63" i="6"/>
  <c r="L68" i="6" s="1"/>
  <c r="R63" i="6"/>
  <c r="L67" i="6" s="1"/>
  <c r="U63" i="6"/>
  <c r="J69" i="6" s="1"/>
  <c r="S63" i="6"/>
  <c r="J68" i="6" s="1"/>
  <c r="Q63" i="6"/>
  <c r="J67" i="6" s="1"/>
  <c r="F63" i="6"/>
  <c r="E63" i="6"/>
  <c r="C63" i="6"/>
  <c r="B63" i="6"/>
  <c r="AA62" i="6"/>
  <c r="Z62" i="6"/>
  <c r="X62" i="6"/>
  <c r="J61" i="6"/>
  <c r="I61" i="6"/>
  <c r="H61" i="6"/>
  <c r="F61" i="6"/>
  <c r="K60" i="6"/>
  <c r="F60" i="6"/>
  <c r="K59" i="6"/>
  <c r="F59" i="6"/>
  <c r="K58" i="6"/>
  <c r="F58" i="6"/>
  <c r="L57" i="6"/>
  <c r="K57" i="6"/>
  <c r="J57" i="6"/>
  <c r="I57" i="6"/>
  <c r="H57" i="6"/>
  <c r="G57" i="6"/>
  <c r="L56" i="6"/>
  <c r="K56" i="6"/>
  <c r="J56" i="6"/>
  <c r="W56" i="6" s="1"/>
  <c r="I56" i="6"/>
  <c r="H56" i="6"/>
  <c r="G56" i="6"/>
  <c r="L55" i="6"/>
  <c r="K55" i="6"/>
  <c r="J55" i="6"/>
  <c r="I55" i="6"/>
  <c r="H55" i="6"/>
  <c r="G55" i="6"/>
  <c r="L54" i="6"/>
  <c r="K54" i="6"/>
  <c r="W54" i="6"/>
  <c r="J54" i="6"/>
  <c r="I54" i="6"/>
  <c r="H54" i="6"/>
  <c r="G54" i="6"/>
  <c r="V53" i="6"/>
  <c r="L60" i="6" s="1"/>
  <c r="T53" i="6"/>
  <c r="L59" i="6" s="1"/>
  <c r="R53" i="6"/>
  <c r="L58" i="6" s="1"/>
  <c r="U53" i="6"/>
  <c r="J60" i="6" s="1"/>
  <c r="S53" i="6"/>
  <c r="J59" i="6" s="1"/>
  <c r="Q53" i="6"/>
  <c r="J58" i="6" s="1"/>
  <c r="F53" i="6"/>
  <c r="E53" i="6"/>
  <c r="C53" i="6"/>
  <c r="B53" i="6"/>
  <c r="AA52" i="6"/>
  <c r="Z52" i="6"/>
  <c r="X52" i="6"/>
  <c r="J51" i="6"/>
  <c r="I51" i="6"/>
  <c r="H51" i="6"/>
  <c r="F51" i="6"/>
  <c r="K50" i="6"/>
  <c r="F50" i="6"/>
  <c r="K49" i="6"/>
  <c r="F49" i="6"/>
  <c r="K48" i="6"/>
  <c r="F48" i="6"/>
  <c r="L47" i="6"/>
  <c r="K47" i="6"/>
  <c r="J47" i="6"/>
  <c r="I47" i="6"/>
  <c r="H47" i="6"/>
  <c r="G47" i="6"/>
  <c r="L46" i="6"/>
  <c r="K46" i="6"/>
  <c r="J46" i="6"/>
  <c r="W46" i="6" s="1"/>
  <c r="I46" i="6"/>
  <c r="H46" i="6"/>
  <c r="G46" i="6"/>
  <c r="L45" i="6"/>
  <c r="K45" i="6"/>
  <c r="J45" i="6"/>
  <c r="I45" i="6"/>
  <c r="H45" i="6"/>
  <c r="G45" i="6"/>
  <c r="L44" i="6"/>
  <c r="K44" i="6"/>
  <c r="W44" i="6"/>
  <c r="J44" i="6"/>
  <c r="I44" i="6"/>
  <c r="H44" i="6"/>
  <c r="G44" i="6"/>
  <c r="V43" i="6"/>
  <c r="L50" i="6" s="1"/>
  <c r="T43" i="6"/>
  <c r="L49" i="6" s="1"/>
  <c r="R43" i="6"/>
  <c r="L48" i="6" s="1"/>
  <c r="U43" i="6"/>
  <c r="J50" i="6" s="1"/>
  <c r="S43" i="6"/>
  <c r="J49" i="6" s="1"/>
  <c r="Q43" i="6"/>
  <c r="J48" i="6" s="1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235" i="5"/>
  <c r="H232" i="5"/>
  <c r="C235" i="5"/>
  <c r="C232" i="5"/>
  <c r="J229" i="5"/>
  <c r="C229" i="5"/>
  <c r="J228" i="5"/>
  <c r="C228" i="5"/>
  <c r="J227" i="5"/>
  <c r="C227" i="5"/>
  <c r="J28" i="5"/>
  <c r="J26" i="5"/>
  <c r="J25" i="5"/>
  <c r="J24" i="5"/>
  <c r="J23" i="5"/>
  <c r="J22" i="5"/>
  <c r="J21" i="5"/>
  <c r="I28" i="5"/>
  <c r="H226" i="5"/>
  <c r="J226" i="5"/>
  <c r="H225" i="5"/>
  <c r="J225" i="5"/>
  <c r="H222" i="5"/>
  <c r="J222" i="5"/>
  <c r="H221" i="5"/>
  <c r="J221" i="5"/>
  <c r="AL220" i="5"/>
  <c r="A220" i="5"/>
  <c r="H218" i="5"/>
  <c r="J218" i="5"/>
  <c r="H217" i="5"/>
  <c r="J217" i="5"/>
  <c r="AL216" i="5"/>
  <c r="A216" i="5"/>
  <c r="Z214" i="5"/>
  <c r="Y214" i="5"/>
  <c r="X214" i="5"/>
  <c r="K213" i="5"/>
  <c r="P214" i="5" s="1"/>
  <c r="J213" i="5"/>
  <c r="I213" i="5"/>
  <c r="AA214" i="5" s="1"/>
  <c r="H213" i="5"/>
  <c r="G213" i="5"/>
  <c r="F213" i="5"/>
  <c r="V213" i="5"/>
  <c r="T213" i="5"/>
  <c r="R213" i="5"/>
  <c r="U213" i="5"/>
  <c r="S213" i="5"/>
  <c r="Q213" i="5"/>
  <c r="E213" i="5"/>
  <c r="D213" i="5"/>
  <c r="B213" i="5"/>
  <c r="A213" i="5"/>
  <c r="AA212" i="5"/>
  <c r="Z212" i="5"/>
  <c r="X212" i="5"/>
  <c r="J212" i="5"/>
  <c r="K211" i="5"/>
  <c r="P212" i="5" s="1"/>
  <c r="J211" i="5"/>
  <c r="I211" i="5"/>
  <c r="Y212" i="5" s="1"/>
  <c r="H211" i="5"/>
  <c r="G211" i="5"/>
  <c r="F211" i="5"/>
  <c r="V211" i="5"/>
  <c r="T211" i="5"/>
  <c r="R211" i="5"/>
  <c r="U211" i="5"/>
  <c r="S211" i="5"/>
  <c r="Q211" i="5"/>
  <c r="E211" i="5"/>
  <c r="D211" i="5"/>
  <c r="B211" i="5"/>
  <c r="A211" i="5"/>
  <c r="AA210" i="5"/>
  <c r="Z210" i="5"/>
  <c r="X210" i="5"/>
  <c r="K209" i="5"/>
  <c r="P210" i="5" s="1"/>
  <c r="J209" i="5"/>
  <c r="I209" i="5"/>
  <c r="Y210" i="5" s="1"/>
  <c r="H209" i="5"/>
  <c r="G209" i="5"/>
  <c r="F209" i="5"/>
  <c r="V209" i="5"/>
  <c r="T209" i="5"/>
  <c r="R209" i="5"/>
  <c r="U209" i="5"/>
  <c r="S209" i="5"/>
  <c r="Q209" i="5"/>
  <c r="E209" i="5"/>
  <c r="D209" i="5"/>
  <c r="B209" i="5"/>
  <c r="A209" i="5"/>
  <c r="AA208" i="5"/>
  <c r="Z208" i="5"/>
  <c r="X208" i="5"/>
  <c r="C207" i="5"/>
  <c r="K206" i="5"/>
  <c r="P208" i="5" s="1"/>
  <c r="J206" i="5"/>
  <c r="I206" i="5"/>
  <c r="H206" i="5"/>
  <c r="G206" i="5"/>
  <c r="F206" i="5"/>
  <c r="V206" i="5"/>
  <c r="T206" i="5"/>
  <c r="R206" i="5"/>
  <c r="U206" i="5"/>
  <c r="S206" i="5"/>
  <c r="Q206" i="5"/>
  <c r="E206" i="5"/>
  <c r="D206" i="5"/>
  <c r="B206" i="5"/>
  <c r="A206" i="5"/>
  <c r="AA205" i="5"/>
  <c r="Z205" i="5"/>
  <c r="X205" i="5"/>
  <c r="C204" i="5"/>
  <c r="K203" i="5"/>
  <c r="J205" i="5" s="1"/>
  <c r="J203" i="5"/>
  <c r="I203" i="5"/>
  <c r="H205" i="5" s="1"/>
  <c r="H203" i="5"/>
  <c r="G203" i="5"/>
  <c r="F203" i="5"/>
  <c r="V203" i="5"/>
  <c r="T203" i="5"/>
  <c r="R203" i="5"/>
  <c r="U203" i="5"/>
  <c r="S203" i="5"/>
  <c r="Q203" i="5"/>
  <c r="E203" i="5"/>
  <c r="D203" i="5"/>
  <c r="B203" i="5"/>
  <c r="A203" i="5"/>
  <c r="A202" i="5"/>
  <c r="H200" i="5"/>
  <c r="J200" i="5"/>
  <c r="H199" i="5"/>
  <c r="J199" i="5"/>
  <c r="A198" i="5"/>
  <c r="Z196" i="5"/>
  <c r="Y196" i="5"/>
  <c r="X196" i="5"/>
  <c r="I195" i="5"/>
  <c r="H195" i="5"/>
  <c r="G195" i="5"/>
  <c r="E195" i="5"/>
  <c r="J194" i="5"/>
  <c r="E194" i="5"/>
  <c r="J193" i="5"/>
  <c r="E193" i="5"/>
  <c r="K192" i="5"/>
  <c r="J192" i="5"/>
  <c r="I192" i="5"/>
  <c r="H192" i="5"/>
  <c r="G192" i="5"/>
  <c r="F192" i="5"/>
  <c r="V191" i="5"/>
  <c r="T191" i="5"/>
  <c r="K194" i="5" s="1"/>
  <c r="J196" i="5" s="1"/>
  <c r="R191" i="5"/>
  <c r="K193" i="5" s="1"/>
  <c r="U191" i="5"/>
  <c r="S191" i="5"/>
  <c r="I194" i="5" s="1"/>
  <c r="Q191" i="5"/>
  <c r="I193" i="5" s="1"/>
  <c r="E191" i="5"/>
  <c r="D191" i="5"/>
  <c r="B191" i="5"/>
  <c r="A191" i="5"/>
  <c r="Z190" i="5"/>
  <c r="Y190" i="5"/>
  <c r="X190" i="5"/>
  <c r="I189" i="5"/>
  <c r="H189" i="5"/>
  <c r="G189" i="5"/>
  <c r="E189" i="5"/>
  <c r="J188" i="5"/>
  <c r="E188" i="5"/>
  <c r="J187" i="5"/>
  <c r="E187" i="5"/>
  <c r="K186" i="5"/>
  <c r="J186" i="5"/>
  <c r="W186" i="5"/>
  <c r="I186" i="5"/>
  <c r="H186" i="5"/>
  <c r="G186" i="5"/>
  <c r="F186" i="5"/>
  <c r="V185" i="5"/>
  <c r="T185" i="5"/>
  <c r="K188" i="5" s="1"/>
  <c r="R185" i="5"/>
  <c r="K187" i="5" s="1"/>
  <c r="U185" i="5"/>
  <c r="S185" i="5"/>
  <c r="I188" i="5" s="1"/>
  <c r="Q185" i="5"/>
  <c r="I187" i="5" s="1"/>
  <c r="E185" i="5"/>
  <c r="D185" i="5"/>
  <c r="B185" i="5"/>
  <c r="A185" i="5"/>
  <c r="Z184" i="5"/>
  <c r="Y184" i="5"/>
  <c r="X184" i="5"/>
  <c r="I183" i="5"/>
  <c r="H183" i="5"/>
  <c r="G183" i="5"/>
  <c r="E183" i="5"/>
  <c r="J182" i="5"/>
  <c r="E182" i="5"/>
  <c r="J181" i="5"/>
  <c r="E181" i="5"/>
  <c r="K180" i="5"/>
  <c r="J180" i="5"/>
  <c r="I180" i="5"/>
  <c r="H180" i="5"/>
  <c r="G180" i="5"/>
  <c r="F180" i="5"/>
  <c r="V179" i="5"/>
  <c r="T179" i="5"/>
  <c r="K182" i="5" s="1"/>
  <c r="R179" i="5"/>
  <c r="K181" i="5" s="1"/>
  <c r="U179" i="5"/>
  <c r="S179" i="5"/>
  <c r="I182" i="5" s="1"/>
  <c r="Q179" i="5"/>
  <c r="I181" i="5" s="1"/>
  <c r="E179" i="5"/>
  <c r="D179" i="5"/>
  <c r="B179" i="5"/>
  <c r="A179" i="5"/>
  <c r="Z178" i="5"/>
  <c r="Y178" i="5"/>
  <c r="X178" i="5"/>
  <c r="I177" i="5"/>
  <c r="H177" i="5"/>
  <c r="G177" i="5"/>
  <c r="E177" i="5"/>
  <c r="J176" i="5"/>
  <c r="E176" i="5"/>
  <c r="J175" i="5"/>
  <c r="E175" i="5"/>
  <c r="K174" i="5"/>
  <c r="J174" i="5"/>
  <c r="I174" i="5"/>
  <c r="W174" i="5" s="1"/>
  <c r="H174" i="5"/>
  <c r="G174" i="5"/>
  <c r="F174" i="5"/>
  <c r="V173" i="5"/>
  <c r="T173" i="5"/>
  <c r="K176" i="5" s="1"/>
  <c r="R173" i="5"/>
  <c r="K175" i="5" s="1"/>
  <c r="U173" i="5"/>
  <c r="S173" i="5"/>
  <c r="I176" i="5" s="1"/>
  <c r="Q173" i="5"/>
  <c r="I175" i="5" s="1"/>
  <c r="E173" i="5"/>
  <c r="D173" i="5"/>
  <c r="B173" i="5"/>
  <c r="A173" i="5"/>
  <c r="Z172" i="5"/>
  <c r="Y172" i="5"/>
  <c r="X172" i="5"/>
  <c r="I171" i="5"/>
  <c r="H171" i="5"/>
  <c r="G171" i="5"/>
  <c r="E171" i="5"/>
  <c r="J170" i="5"/>
  <c r="E170" i="5"/>
  <c r="J169" i="5"/>
  <c r="E169" i="5"/>
  <c r="K168" i="5"/>
  <c r="J168" i="5"/>
  <c r="I168" i="5"/>
  <c r="H168" i="5"/>
  <c r="G168" i="5"/>
  <c r="F168" i="5"/>
  <c r="V167" i="5"/>
  <c r="T167" i="5"/>
  <c r="K170" i="5" s="1"/>
  <c r="J172" i="5" s="1"/>
  <c r="R167" i="5"/>
  <c r="K169" i="5" s="1"/>
  <c r="U167" i="5"/>
  <c r="S167" i="5"/>
  <c r="I170" i="5" s="1"/>
  <c r="Q167" i="5"/>
  <c r="I169" i="5" s="1"/>
  <c r="E167" i="5"/>
  <c r="D167" i="5"/>
  <c r="B167" i="5"/>
  <c r="A167" i="5"/>
  <c r="Z166" i="5"/>
  <c r="Y166" i="5"/>
  <c r="X166" i="5"/>
  <c r="I165" i="5"/>
  <c r="H165" i="5"/>
  <c r="G165" i="5"/>
  <c r="E165" i="5"/>
  <c r="J164" i="5"/>
  <c r="E164" i="5"/>
  <c r="J163" i="5"/>
  <c r="E163" i="5"/>
  <c r="K162" i="5"/>
  <c r="J162" i="5"/>
  <c r="W162" i="5"/>
  <c r="I162" i="5"/>
  <c r="H162" i="5"/>
  <c r="G162" i="5"/>
  <c r="F162" i="5"/>
  <c r="V161" i="5"/>
  <c r="T161" i="5"/>
  <c r="K164" i="5" s="1"/>
  <c r="R161" i="5"/>
  <c r="K163" i="5" s="1"/>
  <c r="U161" i="5"/>
  <c r="S161" i="5"/>
  <c r="I164" i="5" s="1"/>
  <c r="Q161" i="5"/>
  <c r="I163" i="5" s="1"/>
  <c r="E161" i="5"/>
  <c r="D161" i="5"/>
  <c r="B161" i="5"/>
  <c r="A161" i="5"/>
  <c r="Z160" i="5"/>
  <c r="Y160" i="5"/>
  <c r="X160" i="5"/>
  <c r="I159" i="5"/>
  <c r="H159" i="5"/>
  <c r="G159" i="5"/>
  <c r="E159" i="5"/>
  <c r="J158" i="5"/>
  <c r="E158" i="5"/>
  <c r="J157" i="5"/>
  <c r="E157" i="5"/>
  <c r="K156" i="5"/>
  <c r="J156" i="5"/>
  <c r="I156" i="5"/>
  <c r="H156" i="5"/>
  <c r="G156" i="5"/>
  <c r="F156" i="5"/>
  <c r="V155" i="5"/>
  <c r="T155" i="5"/>
  <c r="K158" i="5" s="1"/>
  <c r="R155" i="5"/>
  <c r="K157" i="5" s="1"/>
  <c r="U155" i="5"/>
  <c r="S155" i="5"/>
  <c r="I158" i="5" s="1"/>
  <c r="Q155" i="5"/>
  <c r="I157" i="5" s="1"/>
  <c r="E155" i="5"/>
  <c r="D155" i="5"/>
  <c r="B155" i="5"/>
  <c r="A155" i="5"/>
  <c r="Z154" i="5"/>
  <c r="Y154" i="5"/>
  <c r="X154" i="5"/>
  <c r="I153" i="5"/>
  <c r="H153" i="5"/>
  <c r="G153" i="5"/>
  <c r="E153" i="5"/>
  <c r="J152" i="5"/>
  <c r="E152" i="5"/>
  <c r="J151" i="5"/>
  <c r="E151" i="5"/>
  <c r="K150" i="5"/>
  <c r="J150" i="5"/>
  <c r="I150" i="5"/>
  <c r="W150" i="5" s="1"/>
  <c r="H150" i="5"/>
  <c r="G150" i="5"/>
  <c r="F150" i="5"/>
  <c r="V149" i="5"/>
  <c r="T149" i="5"/>
  <c r="K152" i="5" s="1"/>
  <c r="R149" i="5"/>
  <c r="K151" i="5" s="1"/>
  <c r="U149" i="5"/>
  <c r="S149" i="5"/>
  <c r="I152" i="5" s="1"/>
  <c r="Q149" i="5"/>
  <c r="I151" i="5" s="1"/>
  <c r="E149" i="5"/>
  <c r="D149" i="5"/>
  <c r="B149" i="5"/>
  <c r="A149" i="5"/>
  <c r="Z148" i="5"/>
  <c r="Y148" i="5"/>
  <c r="X148" i="5"/>
  <c r="I147" i="5"/>
  <c r="H147" i="5"/>
  <c r="G147" i="5"/>
  <c r="E147" i="5"/>
  <c r="J146" i="5"/>
  <c r="E146" i="5"/>
  <c r="J145" i="5"/>
  <c r="E145" i="5"/>
  <c r="K144" i="5"/>
  <c r="J144" i="5"/>
  <c r="I144" i="5"/>
  <c r="H144" i="5"/>
  <c r="G144" i="5"/>
  <c r="F144" i="5"/>
  <c r="V143" i="5"/>
  <c r="T143" i="5"/>
  <c r="K146" i="5" s="1"/>
  <c r="J148" i="5" s="1"/>
  <c r="R143" i="5"/>
  <c r="K145" i="5" s="1"/>
  <c r="U143" i="5"/>
  <c r="S143" i="5"/>
  <c r="I146" i="5" s="1"/>
  <c r="Q143" i="5"/>
  <c r="I145" i="5" s="1"/>
  <c r="E143" i="5"/>
  <c r="D143" i="5"/>
  <c r="B143" i="5"/>
  <c r="A143" i="5"/>
  <c r="A142" i="5"/>
  <c r="H140" i="5"/>
  <c r="J140" i="5"/>
  <c r="H139" i="5"/>
  <c r="J139" i="5"/>
  <c r="A138" i="5"/>
  <c r="AA136" i="5"/>
  <c r="Z136" i="5"/>
  <c r="X136" i="5"/>
  <c r="I135" i="5"/>
  <c r="H135" i="5"/>
  <c r="G135" i="5"/>
  <c r="E135" i="5"/>
  <c r="K134" i="5"/>
  <c r="J134" i="5"/>
  <c r="E134" i="5"/>
  <c r="J133" i="5"/>
  <c r="E133" i="5"/>
  <c r="K132" i="5"/>
  <c r="J132" i="5"/>
  <c r="I132" i="5"/>
  <c r="H132" i="5"/>
  <c r="G132" i="5"/>
  <c r="F132" i="5"/>
  <c r="K131" i="5"/>
  <c r="J131" i="5"/>
  <c r="W131" i="5"/>
  <c r="I131" i="5"/>
  <c r="H131" i="5"/>
  <c r="G131" i="5"/>
  <c r="F131" i="5"/>
  <c r="C130" i="5"/>
  <c r="V129" i="5"/>
  <c r="T129" i="5"/>
  <c r="R129" i="5"/>
  <c r="K133" i="5" s="1"/>
  <c r="U129" i="5"/>
  <c r="S129" i="5"/>
  <c r="I134" i="5" s="1"/>
  <c r="Q129" i="5"/>
  <c r="I133" i="5" s="1"/>
  <c r="E129" i="5"/>
  <c r="D129" i="5"/>
  <c r="B129" i="5"/>
  <c r="A129" i="5"/>
  <c r="AA128" i="5"/>
  <c r="Z128" i="5"/>
  <c r="X128" i="5"/>
  <c r="I127" i="5"/>
  <c r="H127" i="5"/>
  <c r="G127" i="5"/>
  <c r="E127" i="5"/>
  <c r="J126" i="5"/>
  <c r="E126" i="5"/>
  <c r="J125" i="5"/>
  <c r="E125" i="5"/>
  <c r="J124" i="5"/>
  <c r="E124" i="5"/>
  <c r="K123" i="5"/>
  <c r="J123" i="5"/>
  <c r="I123" i="5"/>
  <c r="H123" i="5"/>
  <c r="G123" i="5"/>
  <c r="F123" i="5"/>
  <c r="K122" i="5"/>
  <c r="J122" i="5"/>
  <c r="I122" i="5"/>
  <c r="W122" i="5" s="1"/>
  <c r="H122" i="5"/>
  <c r="G122" i="5"/>
  <c r="F122" i="5"/>
  <c r="K121" i="5"/>
  <c r="J121" i="5"/>
  <c r="I121" i="5"/>
  <c r="H121" i="5"/>
  <c r="G121" i="5"/>
  <c r="F121" i="5"/>
  <c r="K120" i="5"/>
  <c r="J120" i="5"/>
  <c r="I120" i="5"/>
  <c r="H120" i="5"/>
  <c r="G120" i="5"/>
  <c r="F120" i="5"/>
  <c r="C119" i="5"/>
  <c r="V118" i="5"/>
  <c r="K126" i="5" s="1"/>
  <c r="T118" i="5"/>
  <c r="K125" i="5" s="1"/>
  <c r="R118" i="5"/>
  <c r="K124" i="5" s="1"/>
  <c r="U118" i="5"/>
  <c r="I126" i="5" s="1"/>
  <c r="S118" i="5"/>
  <c r="I125" i="5" s="1"/>
  <c r="Q118" i="5"/>
  <c r="I124" i="5" s="1"/>
  <c r="E118" i="5"/>
  <c r="D118" i="5"/>
  <c r="B118" i="5"/>
  <c r="A118" i="5"/>
  <c r="AA117" i="5"/>
  <c r="Z117" i="5"/>
  <c r="X117" i="5"/>
  <c r="I116" i="5"/>
  <c r="H116" i="5"/>
  <c r="G116" i="5"/>
  <c r="E116" i="5"/>
  <c r="J115" i="5"/>
  <c r="E115" i="5"/>
  <c r="J114" i="5"/>
  <c r="E114" i="5"/>
  <c r="J113" i="5"/>
  <c r="E113" i="5"/>
  <c r="K112" i="5"/>
  <c r="J112" i="5"/>
  <c r="I112" i="5"/>
  <c r="H112" i="5"/>
  <c r="G112" i="5"/>
  <c r="F112" i="5"/>
  <c r="K111" i="5"/>
  <c r="J111" i="5"/>
  <c r="I111" i="5"/>
  <c r="W111" i="5" s="1"/>
  <c r="H111" i="5"/>
  <c r="G111" i="5"/>
  <c r="F111" i="5"/>
  <c r="K110" i="5"/>
  <c r="J110" i="5"/>
  <c r="I110" i="5"/>
  <c r="H110" i="5"/>
  <c r="G110" i="5"/>
  <c r="F110" i="5"/>
  <c r="K109" i="5"/>
  <c r="J109" i="5"/>
  <c r="I109" i="5"/>
  <c r="H109" i="5"/>
  <c r="G109" i="5"/>
  <c r="F109" i="5"/>
  <c r="C108" i="5"/>
  <c r="V107" i="5"/>
  <c r="K115" i="5" s="1"/>
  <c r="T107" i="5"/>
  <c r="K114" i="5" s="1"/>
  <c r="J117" i="5" s="1"/>
  <c r="R107" i="5"/>
  <c r="K113" i="5" s="1"/>
  <c r="U107" i="5"/>
  <c r="I115" i="5" s="1"/>
  <c r="S107" i="5"/>
  <c r="I114" i="5" s="1"/>
  <c r="Q107" i="5"/>
  <c r="I113" i="5" s="1"/>
  <c r="E107" i="5"/>
  <c r="D107" i="5"/>
  <c r="B107" i="5"/>
  <c r="A107" i="5"/>
  <c r="AA106" i="5"/>
  <c r="Z106" i="5"/>
  <c r="X106" i="5"/>
  <c r="I105" i="5"/>
  <c r="H105" i="5"/>
  <c r="G105" i="5"/>
  <c r="E105" i="5"/>
  <c r="J104" i="5"/>
  <c r="E104" i="5"/>
  <c r="J103" i="5"/>
  <c r="E103" i="5"/>
  <c r="J102" i="5"/>
  <c r="E102" i="5"/>
  <c r="K101" i="5"/>
  <c r="J101" i="5"/>
  <c r="I101" i="5"/>
  <c r="H101" i="5"/>
  <c r="G101" i="5"/>
  <c r="F101" i="5"/>
  <c r="K100" i="5"/>
  <c r="J100" i="5"/>
  <c r="I100" i="5"/>
  <c r="W100" i="5" s="1"/>
  <c r="H100" i="5"/>
  <c r="G100" i="5"/>
  <c r="F100" i="5"/>
  <c r="K99" i="5"/>
  <c r="J99" i="5"/>
  <c r="I99" i="5"/>
  <c r="H99" i="5"/>
  <c r="G99" i="5"/>
  <c r="F99" i="5"/>
  <c r="K98" i="5"/>
  <c r="J98" i="5"/>
  <c r="W98" i="5"/>
  <c r="I98" i="5"/>
  <c r="H98" i="5"/>
  <c r="G98" i="5"/>
  <c r="F98" i="5"/>
  <c r="V97" i="5"/>
  <c r="K104" i="5" s="1"/>
  <c r="T97" i="5"/>
  <c r="K103" i="5" s="1"/>
  <c r="R97" i="5"/>
  <c r="K102" i="5" s="1"/>
  <c r="U97" i="5"/>
  <c r="I104" i="5" s="1"/>
  <c r="S97" i="5"/>
  <c r="I103" i="5" s="1"/>
  <c r="Q97" i="5"/>
  <c r="I102" i="5" s="1"/>
  <c r="E97" i="5"/>
  <c r="D97" i="5"/>
  <c r="B97" i="5"/>
  <c r="A97" i="5"/>
  <c r="AA96" i="5"/>
  <c r="Z96" i="5"/>
  <c r="X96" i="5"/>
  <c r="I95" i="5"/>
  <c r="H95" i="5"/>
  <c r="G95" i="5"/>
  <c r="E95" i="5"/>
  <c r="J94" i="5"/>
  <c r="E94" i="5"/>
  <c r="J93" i="5"/>
  <c r="E93" i="5"/>
  <c r="J92" i="5"/>
  <c r="E92" i="5"/>
  <c r="K91" i="5"/>
  <c r="J91" i="5"/>
  <c r="I91" i="5"/>
  <c r="W91" i="5" s="1"/>
  <c r="H91" i="5"/>
  <c r="G91" i="5"/>
  <c r="F91" i="5"/>
  <c r="K90" i="5"/>
  <c r="J90" i="5"/>
  <c r="I90" i="5"/>
  <c r="H90" i="5"/>
  <c r="G90" i="5"/>
  <c r="F90" i="5"/>
  <c r="K89" i="5"/>
  <c r="J89" i="5"/>
  <c r="W89" i="5"/>
  <c r="I89" i="5"/>
  <c r="H89" i="5"/>
  <c r="G89" i="5"/>
  <c r="F89" i="5"/>
  <c r="C88" i="5"/>
  <c r="V87" i="5"/>
  <c r="K94" i="5" s="1"/>
  <c r="T87" i="5"/>
  <c r="K93" i="5" s="1"/>
  <c r="R87" i="5"/>
  <c r="K92" i="5" s="1"/>
  <c r="U87" i="5"/>
  <c r="I94" i="5" s="1"/>
  <c r="S87" i="5"/>
  <c r="I93" i="5" s="1"/>
  <c r="Q87" i="5"/>
  <c r="I92" i="5" s="1"/>
  <c r="E87" i="5"/>
  <c r="D87" i="5"/>
  <c r="B87" i="5"/>
  <c r="A87" i="5"/>
  <c r="AA86" i="5"/>
  <c r="Z86" i="5"/>
  <c r="X86" i="5"/>
  <c r="I85" i="5"/>
  <c r="H85" i="5"/>
  <c r="G85" i="5"/>
  <c r="E85" i="5"/>
  <c r="J84" i="5"/>
  <c r="E84" i="5"/>
  <c r="J83" i="5"/>
  <c r="E83" i="5"/>
  <c r="J82" i="5"/>
  <c r="E82" i="5"/>
  <c r="K81" i="5"/>
  <c r="J81" i="5"/>
  <c r="I81" i="5"/>
  <c r="H81" i="5"/>
  <c r="G81" i="5"/>
  <c r="F81" i="5"/>
  <c r="K80" i="5"/>
  <c r="J80" i="5"/>
  <c r="W80" i="5"/>
  <c r="I80" i="5"/>
  <c r="H80" i="5"/>
  <c r="G80" i="5"/>
  <c r="F80" i="5"/>
  <c r="K79" i="5"/>
  <c r="J79" i="5"/>
  <c r="I79" i="5"/>
  <c r="H79" i="5"/>
  <c r="G79" i="5"/>
  <c r="F79" i="5"/>
  <c r="K78" i="5"/>
  <c r="J78" i="5"/>
  <c r="I78" i="5"/>
  <c r="H78" i="5"/>
  <c r="G78" i="5"/>
  <c r="F78" i="5"/>
  <c r="C77" i="5"/>
  <c r="V76" i="5"/>
  <c r="K84" i="5" s="1"/>
  <c r="T76" i="5"/>
  <c r="K83" i="5" s="1"/>
  <c r="R76" i="5"/>
  <c r="K82" i="5" s="1"/>
  <c r="U76" i="5"/>
  <c r="I84" i="5" s="1"/>
  <c r="S76" i="5"/>
  <c r="I83" i="5" s="1"/>
  <c r="Q76" i="5"/>
  <c r="I82" i="5" s="1"/>
  <c r="E76" i="5"/>
  <c r="D76" i="5"/>
  <c r="B76" i="5"/>
  <c r="A76" i="5"/>
  <c r="AA75" i="5"/>
  <c r="Z75" i="5"/>
  <c r="X75" i="5"/>
  <c r="I74" i="5"/>
  <c r="H74" i="5"/>
  <c r="G74" i="5"/>
  <c r="E74" i="5"/>
  <c r="J73" i="5"/>
  <c r="E73" i="5"/>
  <c r="J72" i="5"/>
  <c r="E72" i="5"/>
  <c r="J71" i="5"/>
  <c r="E71" i="5"/>
  <c r="K70" i="5"/>
  <c r="J70" i="5"/>
  <c r="I70" i="5"/>
  <c r="H70" i="5"/>
  <c r="G70" i="5"/>
  <c r="F70" i="5"/>
  <c r="K69" i="5"/>
  <c r="J69" i="5"/>
  <c r="I69" i="5"/>
  <c r="W69" i="5" s="1"/>
  <c r="H69" i="5"/>
  <c r="G69" i="5"/>
  <c r="F69" i="5"/>
  <c r="K68" i="5"/>
  <c r="J68" i="5"/>
  <c r="I68" i="5"/>
  <c r="H68" i="5"/>
  <c r="G68" i="5"/>
  <c r="F68" i="5"/>
  <c r="K67" i="5"/>
  <c r="J67" i="5"/>
  <c r="I67" i="5"/>
  <c r="W67" i="5" s="1"/>
  <c r="H67" i="5"/>
  <c r="G67" i="5"/>
  <c r="F67" i="5"/>
  <c r="C66" i="5"/>
  <c r="V65" i="5"/>
  <c r="K73" i="5" s="1"/>
  <c r="T65" i="5"/>
  <c r="K72" i="5" s="1"/>
  <c r="R65" i="5"/>
  <c r="K71" i="5" s="1"/>
  <c r="U65" i="5"/>
  <c r="I73" i="5" s="1"/>
  <c r="S65" i="5"/>
  <c r="I72" i="5" s="1"/>
  <c r="Q65" i="5"/>
  <c r="I71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I59" i="5"/>
  <c r="W59" i="5" s="1"/>
  <c r="H59" i="5"/>
  <c r="G59" i="5"/>
  <c r="F59" i="5"/>
  <c r="K58" i="5"/>
  <c r="J58" i="5"/>
  <c r="I58" i="5"/>
  <c r="H58" i="5"/>
  <c r="G58" i="5"/>
  <c r="F58" i="5"/>
  <c r="K57" i="5"/>
  <c r="J57" i="5"/>
  <c r="I57" i="5"/>
  <c r="H57" i="5"/>
  <c r="G57" i="5"/>
  <c r="F57" i="5"/>
  <c r="V56" i="5"/>
  <c r="K62" i="5" s="1"/>
  <c r="T56" i="5"/>
  <c r="K61" i="5" s="1"/>
  <c r="R56" i="5"/>
  <c r="K60" i="5" s="1"/>
  <c r="U56" i="5"/>
  <c r="I62" i="5" s="1"/>
  <c r="S56" i="5"/>
  <c r="I61" i="5" s="1"/>
  <c r="Q56" i="5"/>
  <c r="I60" i="5" s="1"/>
  <c r="E56" i="5"/>
  <c r="D56" i="5"/>
  <c r="B56" i="5"/>
  <c r="A56" i="5"/>
  <c r="AA55" i="5"/>
  <c r="Z55" i="5"/>
  <c r="X55" i="5"/>
  <c r="I54" i="5"/>
  <c r="H54" i="5"/>
  <c r="G54" i="5"/>
  <c r="E54" i="5"/>
  <c r="J53" i="5"/>
  <c r="E53" i="5"/>
  <c r="J52" i="5"/>
  <c r="E52" i="5"/>
  <c r="J51" i="5"/>
  <c r="E51" i="5"/>
  <c r="K50" i="5"/>
  <c r="J50" i="5"/>
  <c r="I50" i="5"/>
  <c r="H50" i="5"/>
  <c r="G50" i="5"/>
  <c r="F50" i="5"/>
  <c r="K49" i="5"/>
  <c r="J49" i="5"/>
  <c r="W49" i="5"/>
  <c r="I49" i="5"/>
  <c r="H49" i="5"/>
  <c r="G49" i="5"/>
  <c r="F49" i="5"/>
  <c r="K48" i="5"/>
  <c r="J48" i="5"/>
  <c r="I48" i="5"/>
  <c r="H48" i="5"/>
  <c r="G48" i="5"/>
  <c r="F48" i="5"/>
  <c r="K47" i="5"/>
  <c r="J47" i="5"/>
  <c r="I47" i="5"/>
  <c r="H47" i="5"/>
  <c r="G47" i="5"/>
  <c r="F47" i="5"/>
  <c r="V46" i="5"/>
  <c r="K53" i="5" s="1"/>
  <c r="T46" i="5"/>
  <c r="K52" i="5" s="1"/>
  <c r="R46" i="5"/>
  <c r="K51" i="5" s="1"/>
  <c r="U46" i="5"/>
  <c r="I53" i="5" s="1"/>
  <c r="S46" i="5"/>
  <c r="I52" i="5" s="1"/>
  <c r="Q46" i="5"/>
  <c r="I51" i="5" s="1"/>
  <c r="E46" i="5"/>
  <c r="D46" i="5"/>
  <c r="B46" i="5"/>
  <c r="A46" i="5"/>
  <c r="AA45" i="5"/>
  <c r="Z45" i="5"/>
  <c r="X45" i="5"/>
  <c r="I44" i="5"/>
  <c r="H44" i="5"/>
  <c r="G44" i="5"/>
  <c r="E44" i="5"/>
  <c r="J43" i="5"/>
  <c r="E43" i="5"/>
  <c r="J42" i="5"/>
  <c r="E42" i="5"/>
  <c r="J41" i="5"/>
  <c r="E41" i="5"/>
  <c r="K40" i="5"/>
  <c r="J40" i="5"/>
  <c r="I40" i="5"/>
  <c r="H40" i="5"/>
  <c r="G40" i="5"/>
  <c r="F40" i="5"/>
  <c r="K39" i="5"/>
  <c r="J39" i="5"/>
  <c r="I39" i="5"/>
  <c r="W39" i="5" s="1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V36" i="5"/>
  <c r="K43" i="5" s="1"/>
  <c r="T36" i="5"/>
  <c r="K42" i="5" s="1"/>
  <c r="R36" i="5"/>
  <c r="K41" i="5" s="1"/>
  <c r="U36" i="5"/>
  <c r="I43" i="5" s="1"/>
  <c r="S36" i="5"/>
  <c r="I42" i="5" s="1"/>
  <c r="Q36" i="5"/>
  <c r="I41" i="5" s="1"/>
  <c r="E36" i="5"/>
  <c r="D36" i="5"/>
  <c r="B36" i="5"/>
  <c r="A36" i="5"/>
  <c r="A35" i="5"/>
  <c r="A33" i="5"/>
  <c r="A19" i="5"/>
  <c r="A16" i="5"/>
  <c r="AK11" i="5"/>
  <c r="G6" i="5"/>
  <c r="B6" i="5"/>
  <c r="A1" i="5"/>
  <c r="P45" i="5" l="1"/>
  <c r="Y128" i="5"/>
  <c r="P128" i="5"/>
  <c r="P154" i="5"/>
  <c r="J160" i="5"/>
  <c r="P178" i="5"/>
  <c r="J184" i="5"/>
  <c r="O205" i="5"/>
  <c r="Y205" i="5"/>
  <c r="H210" i="5"/>
  <c r="H214" i="5"/>
  <c r="P64" i="5"/>
  <c r="P166" i="5"/>
  <c r="P190" i="5"/>
  <c r="P205" i="5"/>
  <c r="J210" i="5"/>
  <c r="H212" i="5"/>
  <c r="J214" i="5"/>
  <c r="P52" i="6"/>
  <c r="I52" i="6"/>
  <c r="P62" i="6"/>
  <c r="I62" i="6"/>
  <c r="P71" i="6"/>
  <c r="I71" i="6"/>
  <c r="I82" i="6"/>
  <c r="K82" i="6"/>
  <c r="Y93" i="6"/>
  <c r="AA155" i="6"/>
  <c r="O155" i="6"/>
  <c r="AA179" i="6"/>
  <c r="O179" i="6"/>
  <c r="AA203" i="6"/>
  <c r="O203" i="6"/>
  <c r="Y52" i="6"/>
  <c r="Y62" i="6"/>
  <c r="Y71" i="6"/>
  <c r="P82" i="6"/>
  <c r="P93" i="6"/>
  <c r="I93" i="6"/>
  <c r="I103" i="6"/>
  <c r="K103" i="6"/>
  <c r="P103" i="6"/>
  <c r="K113" i="6"/>
  <c r="AA167" i="6"/>
  <c r="O167" i="6"/>
  <c r="AA191" i="6"/>
  <c r="O191" i="6"/>
  <c r="K52" i="6"/>
  <c r="K62" i="6"/>
  <c r="K71" i="6"/>
  <c r="O82" i="6"/>
  <c r="Y82" i="6"/>
  <c r="K93" i="6"/>
  <c r="O103" i="6"/>
  <c r="Y103" i="6"/>
  <c r="Y113" i="6"/>
  <c r="O113" i="6"/>
  <c r="O124" i="6"/>
  <c r="P135" i="6"/>
  <c r="Y143" i="6"/>
  <c r="O143" i="6"/>
  <c r="W138" i="6"/>
  <c r="P143" i="6"/>
  <c r="I143" i="6"/>
  <c r="I155" i="6"/>
  <c r="I167" i="6"/>
  <c r="I179" i="6"/>
  <c r="I191" i="6"/>
  <c r="I203" i="6"/>
  <c r="Y212" i="6"/>
  <c r="O212" i="6"/>
  <c r="K212" i="6"/>
  <c r="O52" i="6"/>
  <c r="O62" i="6"/>
  <c r="O71" i="6"/>
  <c r="W74" i="6"/>
  <c r="O93" i="6"/>
  <c r="W96" i="6"/>
  <c r="W105" i="6"/>
  <c r="P113" i="6"/>
  <c r="I113" i="6"/>
  <c r="I124" i="6"/>
  <c r="W116" i="6"/>
  <c r="K124" i="6"/>
  <c r="Y135" i="6"/>
  <c r="K135" i="6"/>
  <c r="K155" i="6"/>
  <c r="AA161" i="6"/>
  <c r="O161" i="6"/>
  <c r="W157" i="6"/>
  <c r="P161" i="6"/>
  <c r="K205" i="6" s="1"/>
  <c r="I161" i="6"/>
  <c r="K167" i="6"/>
  <c r="AA173" i="6"/>
  <c r="O173" i="6"/>
  <c r="W169" i="6"/>
  <c r="P173" i="6"/>
  <c r="I173" i="6"/>
  <c r="K179" i="6"/>
  <c r="AA185" i="6"/>
  <c r="O185" i="6"/>
  <c r="W181" i="6"/>
  <c r="P185" i="6"/>
  <c r="I185" i="6"/>
  <c r="K191" i="6"/>
  <c r="AA197" i="6"/>
  <c r="O197" i="6"/>
  <c r="W193" i="6"/>
  <c r="P197" i="6"/>
  <c r="I197" i="6"/>
  <c r="K203" i="6"/>
  <c r="I212" i="6"/>
  <c r="O217" i="6"/>
  <c r="Y217" i="6"/>
  <c r="O219" i="6"/>
  <c r="Y219" i="6"/>
  <c r="O221" i="6"/>
  <c r="AA221" i="6"/>
  <c r="O135" i="6"/>
  <c r="H55" i="5"/>
  <c r="J55" i="5"/>
  <c r="P75" i="5"/>
  <c r="H75" i="5"/>
  <c r="H86" i="5"/>
  <c r="J86" i="5"/>
  <c r="Y96" i="5"/>
  <c r="Y106" i="5"/>
  <c r="AA154" i="5"/>
  <c r="O154" i="5"/>
  <c r="AA178" i="5"/>
  <c r="O178" i="5"/>
  <c r="H45" i="5"/>
  <c r="J45" i="5"/>
  <c r="P55" i="5"/>
  <c r="H64" i="5"/>
  <c r="J64" i="5"/>
  <c r="Y75" i="5"/>
  <c r="P86" i="5"/>
  <c r="P96" i="5"/>
  <c r="H96" i="5"/>
  <c r="P106" i="5"/>
  <c r="H106" i="5"/>
  <c r="Y136" i="5"/>
  <c r="AA166" i="5"/>
  <c r="O166" i="5"/>
  <c r="AA190" i="5"/>
  <c r="O190" i="5"/>
  <c r="O45" i="5"/>
  <c r="Y45" i="5"/>
  <c r="O55" i="5"/>
  <c r="Y55" i="5"/>
  <c r="O64" i="5"/>
  <c r="Y64" i="5"/>
  <c r="J75" i="5"/>
  <c r="O86" i="5"/>
  <c r="Y86" i="5"/>
  <c r="J96" i="5"/>
  <c r="J106" i="5"/>
  <c r="Y117" i="5"/>
  <c r="O117" i="5"/>
  <c r="O128" i="5"/>
  <c r="J136" i="5"/>
  <c r="O136" i="5"/>
  <c r="H154" i="5"/>
  <c r="H166" i="5"/>
  <c r="H178" i="5"/>
  <c r="H190" i="5"/>
  <c r="Y208" i="5"/>
  <c r="O208" i="5"/>
  <c r="J208" i="5"/>
  <c r="W37" i="5"/>
  <c r="I22" i="5"/>
  <c r="I24" i="5"/>
  <c r="W47" i="5"/>
  <c r="W57" i="5"/>
  <c r="O75" i="5"/>
  <c r="W78" i="5"/>
  <c r="O96" i="5"/>
  <c r="O106" i="5"/>
  <c r="W109" i="5"/>
  <c r="P117" i="5"/>
  <c r="H117" i="5"/>
  <c r="H128" i="5"/>
  <c r="W120" i="5"/>
  <c r="J128" i="5"/>
  <c r="H136" i="5"/>
  <c r="P136" i="5"/>
  <c r="AA148" i="5"/>
  <c r="O148" i="5"/>
  <c r="W144" i="5"/>
  <c r="P148" i="5"/>
  <c r="H148" i="5"/>
  <c r="J154" i="5"/>
  <c r="AA160" i="5"/>
  <c r="O160" i="5"/>
  <c r="W156" i="5"/>
  <c r="P160" i="5"/>
  <c r="H160" i="5"/>
  <c r="J166" i="5"/>
  <c r="AA172" i="5"/>
  <c r="O172" i="5"/>
  <c r="W168" i="5"/>
  <c r="P172" i="5"/>
  <c r="H172" i="5"/>
  <c r="J178" i="5"/>
  <c r="AA184" i="5"/>
  <c r="O184" i="5"/>
  <c r="W180" i="5"/>
  <c r="P184" i="5"/>
  <c r="H184" i="5"/>
  <c r="J190" i="5"/>
  <c r="AA196" i="5"/>
  <c r="O196" i="5"/>
  <c r="W192" i="5"/>
  <c r="P196" i="5"/>
  <c r="H196" i="5"/>
  <c r="J216" i="5"/>
  <c r="H208" i="5"/>
  <c r="O210" i="5"/>
  <c r="O212" i="5"/>
  <c r="O214" i="5"/>
  <c r="A1" i="4"/>
  <c r="A1" i="3"/>
  <c r="CX1" i="3"/>
  <c r="CY1" i="3"/>
  <c r="CZ1" i="3"/>
  <c r="DA1" i="3"/>
  <c r="DB1" i="3"/>
  <c r="DC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I28" i="1"/>
  <c r="S28" i="1"/>
  <c r="W28" i="1"/>
  <c r="AC28" i="1"/>
  <c r="AE28" i="1"/>
  <c r="AF28" i="1"/>
  <c r="AG28" i="1"/>
  <c r="CU28" i="1" s="1"/>
  <c r="T28" i="1" s="1"/>
  <c r="AH28" i="1"/>
  <c r="AI28" i="1"/>
  <c r="CW28" i="1" s="1"/>
  <c r="V28" i="1" s="1"/>
  <c r="AJ28" i="1"/>
  <c r="CR28" i="1"/>
  <c r="CT28" i="1"/>
  <c r="CV28" i="1"/>
  <c r="U28" i="1" s="1"/>
  <c r="CX28" i="1"/>
  <c r="CZ28" i="1"/>
  <c r="Y28" i="1" s="1"/>
  <c r="FR28" i="1"/>
  <c r="GL28" i="1"/>
  <c r="GN28" i="1"/>
  <c r="GP28" i="1"/>
  <c r="GV28" i="1"/>
  <c r="HC28" i="1" s="1"/>
  <c r="GX28" i="1" s="1"/>
  <c r="P29" i="1"/>
  <c r="R29" i="1"/>
  <c r="T29" i="1"/>
  <c r="AC29" i="1"/>
  <c r="AD29" i="1"/>
  <c r="AB29" i="1" s="1"/>
  <c r="AE29" i="1"/>
  <c r="Q29" i="1" s="1"/>
  <c r="AF29" i="1"/>
  <c r="AG29" i="1"/>
  <c r="AH29" i="1"/>
  <c r="CV29" i="1" s="1"/>
  <c r="U29" i="1" s="1"/>
  <c r="AI29" i="1"/>
  <c r="AJ29" i="1"/>
  <c r="CX29" i="1" s="1"/>
  <c r="W29" i="1" s="1"/>
  <c r="CQ29" i="1"/>
  <c r="CR29" i="1"/>
  <c r="CS29" i="1"/>
  <c r="CU29" i="1"/>
  <c r="CW29" i="1"/>
  <c r="V29" i="1" s="1"/>
  <c r="FR29" i="1"/>
  <c r="GK29" i="1"/>
  <c r="GL29" i="1"/>
  <c r="GN29" i="1"/>
  <c r="GP29" i="1"/>
  <c r="GV29" i="1"/>
  <c r="HC29" i="1" s="1"/>
  <c r="GX29" i="1" s="1"/>
  <c r="P30" i="1"/>
  <c r="R30" i="1"/>
  <c r="GK30" i="1" s="1"/>
  <c r="T30" i="1"/>
  <c r="AC30" i="1"/>
  <c r="AD30" i="1"/>
  <c r="AB30" i="1" s="1"/>
  <c r="AE30" i="1"/>
  <c r="Q30" i="1" s="1"/>
  <c r="AF30" i="1"/>
  <c r="AG30" i="1"/>
  <c r="AH30" i="1"/>
  <c r="CV30" i="1" s="1"/>
  <c r="U30" i="1" s="1"/>
  <c r="AI30" i="1"/>
  <c r="AJ30" i="1"/>
  <c r="CX30" i="1" s="1"/>
  <c r="W30" i="1" s="1"/>
  <c r="CQ30" i="1"/>
  <c r="CR30" i="1"/>
  <c r="CS30" i="1"/>
  <c r="CU30" i="1"/>
  <c r="CW30" i="1"/>
  <c r="V30" i="1" s="1"/>
  <c r="FR30" i="1"/>
  <c r="GL30" i="1"/>
  <c r="GN30" i="1"/>
  <c r="GP30" i="1"/>
  <c r="GV30" i="1"/>
  <c r="GX30" i="1"/>
  <c r="HC30" i="1"/>
  <c r="I31" i="1"/>
  <c r="Q31" i="1" s="1"/>
  <c r="P31" i="1"/>
  <c r="R31" i="1"/>
  <c r="GK31" i="1" s="1"/>
  <c r="T31" i="1"/>
  <c r="AC31" i="1"/>
  <c r="AD31" i="1"/>
  <c r="AB31" i="1" s="1"/>
  <c r="AE31" i="1"/>
  <c r="AF31" i="1"/>
  <c r="AG31" i="1"/>
  <c r="AH31" i="1"/>
  <c r="CV31" i="1" s="1"/>
  <c r="U31" i="1" s="1"/>
  <c r="AI31" i="1"/>
  <c r="AJ31" i="1"/>
  <c r="CX31" i="1" s="1"/>
  <c r="W31" i="1" s="1"/>
  <c r="CQ31" i="1"/>
  <c r="CR31" i="1"/>
  <c r="CS31" i="1"/>
  <c r="CU31" i="1"/>
  <c r="CW31" i="1"/>
  <c r="V31" i="1" s="1"/>
  <c r="FR31" i="1"/>
  <c r="GL31" i="1"/>
  <c r="GN31" i="1"/>
  <c r="GP31" i="1"/>
  <c r="GV31" i="1"/>
  <c r="GX31" i="1"/>
  <c r="HC31" i="1"/>
  <c r="I32" i="1"/>
  <c r="Q32" i="1" s="1"/>
  <c r="P32" i="1"/>
  <c r="R32" i="1"/>
  <c r="GK32" i="1" s="1"/>
  <c r="T32" i="1"/>
  <c r="AC32" i="1"/>
  <c r="AD32" i="1"/>
  <c r="AB32" i="1" s="1"/>
  <c r="AE32" i="1"/>
  <c r="AF32" i="1"/>
  <c r="AG32" i="1"/>
  <c r="AH32" i="1"/>
  <c r="CV32" i="1" s="1"/>
  <c r="U32" i="1" s="1"/>
  <c r="AI32" i="1"/>
  <c r="AJ32" i="1"/>
  <c r="CX32" i="1" s="1"/>
  <c r="W32" i="1" s="1"/>
  <c r="CQ32" i="1"/>
  <c r="CR32" i="1"/>
  <c r="CS32" i="1"/>
  <c r="CU32" i="1"/>
  <c r="CW32" i="1"/>
  <c r="V32" i="1" s="1"/>
  <c r="FR32" i="1"/>
  <c r="GL32" i="1"/>
  <c r="GN32" i="1"/>
  <c r="GP32" i="1"/>
  <c r="GV32" i="1"/>
  <c r="GX32" i="1"/>
  <c r="HC32" i="1"/>
  <c r="I33" i="1"/>
  <c r="Q33" i="1" s="1"/>
  <c r="P33" i="1"/>
  <c r="R33" i="1"/>
  <c r="GK33" i="1" s="1"/>
  <c r="T33" i="1"/>
  <c r="AC33" i="1"/>
  <c r="AD33" i="1"/>
  <c r="AB33" i="1" s="1"/>
  <c r="AE33" i="1"/>
  <c r="AF33" i="1"/>
  <c r="AG33" i="1"/>
  <c r="AH33" i="1"/>
  <c r="CV33" i="1" s="1"/>
  <c r="U33" i="1" s="1"/>
  <c r="AI33" i="1"/>
  <c r="AJ33" i="1"/>
  <c r="CX33" i="1" s="1"/>
  <c r="W33" i="1" s="1"/>
  <c r="CQ33" i="1"/>
  <c r="CR33" i="1"/>
  <c r="CS33" i="1"/>
  <c r="CU33" i="1"/>
  <c r="CW33" i="1"/>
  <c r="V33" i="1" s="1"/>
  <c r="FR33" i="1"/>
  <c r="GL33" i="1"/>
  <c r="GN33" i="1"/>
  <c r="GP33" i="1"/>
  <c r="GV33" i="1"/>
  <c r="GX33" i="1"/>
  <c r="HC33" i="1"/>
  <c r="C34" i="1"/>
  <c r="D34" i="1"/>
  <c r="S34" i="1"/>
  <c r="CY34" i="1" s="1"/>
  <c r="X34" i="1" s="1"/>
  <c r="U34" i="1"/>
  <c r="Y34" i="1"/>
  <c r="AC34" i="1"/>
  <c r="AE34" i="1"/>
  <c r="AF34" i="1"/>
  <c r="AG34" i="1"/>
  <c r="CU34" i="1" s="1"/>
  <c r="T34" i="1" s="1"/>
  <c r="AH34" i="1"/>
  <c r="AI34" i="1"/>
  <c r="CW34" i="1" s="1"/>
  <c r="V34" i="1" s="1"/>
  <c r="AJ34" i="1"/>
  <c r="CT34" i="1"/>
  <c r="CV34" i="1"/>
  <c r="CX34" i="1"/>
  <c r="W34" i="1" s="1"/>
  <c r="CZ34" i="1"/>
  <c r="FR34" i="1"/>
  <c r="GL34" i="1"/>
  <c r="GN34" i="1"/>
  <c r="GP34" i="1"/>
  <c r="GV34" i="1"/>
  <c r="HC34" i="1"/>
  <c r="GX34" i="1" s="1"/>
  <c r="I35" i="1"/>
  <c r="S35" i="1"/>
  <c r="CY35" i="1" s="1"/>
  <c r="X35" i="1" s="1"/>
  <c r="W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R35" i="1"/>
  <c r="CT35" i="1"/>
  <c r="CV35" i="1"/>
  <c r="U35" i="1" s="1"/>
  <c r="CX35" i="1"/>
  <c r="CZ35" i="1"/>
  <c r="Y35" i="1" s="1"/>
  <c r="FR35" i="1"/>
  <c r="GL35" i="1"/>
  <c r="GN35" i="1"/>
  <c r="GP35" i="1"/>
  <c r="GV35" i="1"/>
  <c r="HC35" i="1" s="1"/>
  <c r="GX35" i="1" s="1"/>
  <c r="I36" i="1"/>
  <c r="S36" i="1"/>
  <c r="CY36" i="1" s="1"/>
  <c r="X36" i="1" s="1"/>
  <c r="U36" i="1"/>
  <c r="Y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CV36" i="1"/>
  <c r="CX36" i="1"/>
  <c r="W36" i="1" s="1"/>
  <c r="CZ36" i="1"/>
  <c r="FR36" i="1"/>
  <c r="GL36" i="1"/>
  <c r="GN36" i="1"/>
  <c r="GP36" i="1"/>
  <c r="GV36" i="1"/>
  <c r="HC36" i="1"/>
  <c r="GX36" i="1" s="1"/>
  <c r="I37" i="1"/>
  <c r="S37" i="1"/>
  <c r="CY37" i="1" s="1"/>
  <c r="X37" i="1" s="1"/>
  <c r="W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R37" i="1"/>
  <c r="CT37" i="1"/>
  <c r="CV37" i="1"/>
  <c r="U37" i="1" s="1"/>
  <c r="CX37" i="1"/>
  <c r="CZ37" i="1"/>
  <c r="Y37" i="1" s="1"/>
  <c r="FR37" i="1"/>
  <c r="GL37" i="1"/>
  <c r="GN37" i="1"/>
  <c r="GP37" i="1"/>
  <c r="GV37" i="1"/>
  <c r="HC37" i="1" s="1"/>
  <c r="GX37" i="1" s="1"/>
  <c r="B39" i="1"/>
  <c r="B26" i="1" s="1"/>
  <c r="C39" i="1"/>
  <c r="C26" i="1" s="1"/>
  <c r="D39" i="1"/>
  <c r="D26" i="1" s="1"/>
  <c r="F39" i="1"/>
  <c r="F26" i="1" s="1"/>
  <c r="G39" i="1"/>
  <c r="G26" i="1" s="1"/>
  <c r="AG39" i="1"/>
  <c r="BX39" i="1"/>
  <c r="BX26" i="1" s="1"/>
  <c r="BZ39" i="1"/>
  <c r="BZ26" i="1" s="1"/>
  <c r="CB39" i="1"/>
  <c r="CB26" i="1" s="1"/>
  <c r="CD39" i="1"/>
  <c r="CD26" i="1" s="1"/>
  <c r="CG39" i="1"/>
  <c r="CK39" i="1"/>
  <c r="CL39" i="1"/>
  <c r="CL26" i="1" s="1"/>
  <c r="CM39" i="1"/>
  <c r="D69" i="1"/>
  <c r="E71" i="1"/>
  <c r="Z71" i="1"/>
  <c r="AA71" i="1"/>
  <c r="AM71" i="1"/>
  <c r="AN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P73" i="1"/>
  <c r="R73" i="1"/>
  <c r="GK73" i="1" s="1"/>
  <c r="AC73" i="1"/>
  <c r="AD73" i="1"/>
  <c r="AB73" i="1" s="1"/>
  <c r="AE73" i="1"/>
  <c r="Q73" i="1" s="1"/>
  <c r="AF73" i="1"/>
  <c r="S73" i="1" s="1"/>
  <c r="AG73" i="1"/>
  <c r="AH73" i="1"/>
  <c r="CV73" i="1" s="1"/>
  <c r="U73" i="1" s="1"/>
  <c r="AI73" i="1"/>
  <c r="AJ73" i="1"/>
  <c r="CX73" i="1" s="1"/>
  <c r="W73" i="1" s="1"/>
  <c r="CQ73" i="1"/>
  <c r="CR73" i="1"/>
  <c r="CS73" i="1"/>
  <c r="CU73" i="1"/>
  <c r="T73" i="1" s="1"/>
  <c r="CW73" i="1"/>
  <c r="V73" i="1" s="1"/>
  <c r="FR73" i="1"/>
  <c r="GL73" i="1"/>
  <c r="GN73" i="1"/>
  <c r="GO73" i="1"/>
  <c r="GV73" i="1"/>
  <c r="GX73" i="1"/>
  <c r="HC73" i="1"/>
  <c r="S74" i="1"/>
  <c r="CY74" i="1" s="1"/>
  <c r="X74" i="1" s="1"/>
  <c r="AC74" i="1"/>
  <c r="P74" i="1" s="1"/>
  <c r="AE74" i="1"/>
  <c r="Q74" i="1" s="1"/>
  <c r="AF74" i="1"/>
  <c r="AG74" i="1"/>
  <c r="CU74" i="1" s="1"/>
  <c r="T74" i="1" s="1"/>
  <c r="AH74" i="1"/>
  <c r="AI74" i="1"/>
  <c r="CW74" i="1" s="1"/>
  <c r="V74" i="1" s="1"/>
  <c r="AJ74" i="1"/>
  <c r="CR74" i="1"/>
  <c r="CT74" i="1"/>
  <c r="CV74" i="1"/>
  <c r="U74" i="1" s="1"/>
  <c r="CX74" i="1"/>
  <c r="W74" i="1" s="1"/>
  <c r="CZ74" i="1"/>
  <c r="Y74" i="1" s="1"/>
  <c r="FR74" i="1"/>
  <c r="GL74" i="1"/>
  <c r="GN74" i="1"/>
  <c r="GO74" i="1"/>
  <c r="GV74" i="1"/>
  <c r="HC74" i="1"/>
  <c r="GX74" i="1" s="1"/>
  <c r="P75" i="1"/>
  <c r="R75" i="1"/>
  <c r="GK75" i="1" s="1"/>
  <c r="AC75" i="1"/>
  <c r="AD75" i="1"/>
  <c r="AB75" i="1" s="1"/>
  <c r="AE75" i="1"/>
  <c r="Q75" i="1" s="1"/>
  <c r="AF75" i="1"/>
  <c r="S75" i="1" s="1"/>
  <c r="AG75" i="1"/>
  <c r="AH75" i="1"/>
  <c r="CV75" i="1" s="1"/>
  <c r="U75" i="1" s="1"/>
  <c r="AI75" i="1"/>
  <c r="AJ75" i="1"/>
  <c r="CX75" i="1" s="1"/>
  <c r="W75" i="1" s="1"/>
  <c r="CQ75" i="1"/>
  <c r="CR75" i="1"/>
  <c r="CS75" i="1"/>
  <c r="CU75" i="1"/>
  <c r="T75" i="1" s="1"/>
  <c r="CW75" i="1"/>
  <c r="V75" i="1" s="1"/>
  <c r="FR75" i="1"/>
  <c r="GL75" i="1"/>
  <c r="GN75" i="1"/>
  <c r="GO75" i="1"/>
  <c r="GV75" i="1"/>
  <c r="GX75" i="1"/>
  <c r="HC75" i="1"/>
  <c r="I76" i="1"/>
  <c r="Q76" i="1" s="1"/>
  <c r="P76" i="1"/>
  <c r="CP76" i="1" s="1"/>
  <c r="O76" i="1" s="1"/>
  <c r="R76" i="1"/>
  <c r="GK76" i="1" s="1"/>
  <c r="AC76" i="1"/>
  <c r="AD76" i="1"/>
  <c r="AB76" i="1" s="1"/>
  <c r="AE76" i="1"/>
  <c r="AF76" i="1"/>
  <c r="S76" i="1" s="1"/>
  <c r="AG76" i="1"/>
  <c r="AH76" i="1"/>
  <c r="CV76" i="1" s="1"/>
  <c r="U76" i="1" s="1"/>
  <c r="AI76" i="1"/>
  <c r="AJ76" i="1"/>
  <c r="CX76" i="1" s="1"/>
  <c r="W76" i="1" s="1"/>
  <c r="CQ76" i="1"/>
  <c r="CR76" i="1"/>
  <c r="CS76" i="1"/>
  <c r="CU76" i="1"/>
  <c r="T76" i="1" s="1"/>
  <c r="CW76" i="1"/>
  <c r="V76" i="1" s="1"/>
  <c r="FR76" i="1"/>
  <c r="GL76" i="1"/>
  <c r="GN76" i="1"/>
  <c r="GO76" i="1"/>
  <c r="GV76" i="1"/>
  <c r="GX76" i="1"/>
  <c r="HC76" i="1"/>
  <c r="S77" i="1"/>
  <c r="CY77" i="1" s="1"/>
  <c r="X77" i="1" s="1"/>
  <c r="AC77" i="1"/>
  <c r="P77" i="1" s="1"/>
  <c r="AE77" i="1"/>
  <c r="Q77" i="1" s="1"/>
  <c r="AF77" i="1"/>
  <c r="AG77" i="1"/>
  <c r="CU77" i="1" s="1"/>
  <c r="T77" i="1" s="1"/>
  <c r="AH77" i="1"/>
  <c r="AI77" i="1"/>
  <c r="CW77" i="1" s="1"/>
  <c r="V77" i="1" s="1"/>
  <c r="AJ77" i="1"/>
  <c r="CR77" i="1"/>
  <c r="CT77" i="1"/>
  <c r="CV77" i="1"/>
  <c r="U77" i="1" s="1"/>
  <c r="CX77" i="1"/>
  <c r="W77" i="1" s="1"/>
  <c r="CZ77" i="1"/>
  <c r="Y77" i="1" s="1"/>
  <c r="FR77" i="1"/>
  <c r="GL77" i="1"/>
  <c r="GN77" i="1"/>
  <c r="GO77" i="1"/>
  <c r="GV77" i="1"/>
  <c r="HC77" i="1"/>
  <c r="GX77" i="1" s="1"/>
  <c r="P78" i="1"/>
  <c r="R78" i="1"/>
  <c r="GK78" i="1" s="1"/>
  <c r="AC78" i="1"/>
  <c r="AD78" i="1"/>
  <c r="AB78" i="1" s="1"/>
  <c r="AE78" i="1"/>
  <c r="Q78" i="1" s="1"/>
  <c r="AF78" i="1"/>
  <c r="S78" i="1" s="1"/>
  <c r="AG78" i="1"/>
  <c r="AH78" i="1"/>
  <c r="CV78" i="1" s="1"/>
  <c r="U78" i="1" s="1"/>
  <c r="AI78" i="1"/>
  <c r="AJ78" i="1"/>
  <c r="CX78" i="1" s="1"/>
  <c r="W78" i="1" s="1"/>
  <c r="CQ78" i="1"/>
  <c r="CR78" i="1"/>
  <c r="CS78" i="1"/>
  <c r="CU78" i="1"/>
  <c r="T78" i="1" s="1"/>
  <c r="CW78" i="1"/>
  <c r="V78" i="1" s="1"/>
  <c r="FR78" i="1"/>
  <c r="GL78" i="1"/>
  <c r="BZ83" i="1" s="1"/>
  <c r="GN78" i="1"/>
  <c r="CB83" i="1" s="1"/>
  <c r="GO78" i="1"/>
  <c r="GV78" i="1"/>
  <c r="GX78" i="1"/>
  <c r="HC78" i="1"/>
  <c r="S79" i="1"/>
  <c r="CY79" i="1" s="1"/>
  <c r="X79" i="1" s="1"/>
  <c r="AC79" i="1"/>
  <c r="P79" i="1" s="1"/>
  <c r="CP79" i="1" s="1"/>
  <c r="O79" i="1" s="1"/>
  <c r="AE79" i="1"/>
  <c r="Q79" i="1" s="1"/>
  <c r="AF79" i="1"/>
  <c r="AG79" i="1"/>
  <c r="CU79" i="1" s="1"/>
  <c r="T79" i="1" s="1"/>
  <c r="AH79" i="1"/>
  <c r="AI79" i="1"/>
  <c r="CW79" i="1" s="1"/>
  <c r="V79" i="1" s="1"/>
  <c r="AJ79" i="1"/>
  <c r="CR79" i="1"/>
  <c r="CT79" i="1"/>
  <c r="CV79" i="1"/>
  <c r="U79" i="1" s="1"/>
  <c r="CX79" i="1"/>
  <c r="W79" i="1" s="1"/>
  <c r="CZ79" i="1"/>
  <c r="Y79" i="1" s="1"/>
  <c r="FR79" i="1"/>
  <c r="GL79" i="1"/>
  <c r="GN79" i="1"/>
  <c r="GO79" i="1"/>
  <c r="GV79" i="1"/>
  <c r="HC79" i="1"/>
  <c r="GX79" i="1" s="1"/>
  <c r="I80" i="1"/>
  <c r="S80" i="1"/>
  <c r="CY80" i="1" s="1"/>
  <c r="X80" i="1" s="1"/>
  <c r="AC80" i="1"/>
  <c r="P80" i="1" s="1"/>
  <c r="CP80" i="1" s="1"/>
  <c r="O80" i="1" s="1"/>
  <c r="AE80" i="1"/>
  <c r="Q80" i="1" s="1"/>
  <c r="AF80" i="1"/>
  <c r="AG80" i="1"/>
  <c r="CU80" i="1" s="1"/>
  <c r="T80" i="1" s="1"/>
  <c r="AH80" i="1"/>
  <c r="AI80" i="1"/>
  <c r="CW80" i="1" s="1"/>
  <c r="V80" i="1" s="1"/>
  <c r="AJ80" i="1"/>
  <c r="CR80" i="1"/>
  <c r="CT80" i="1"/>
  <c r="CV80" i="1"/>
  <c r="U80" i="1" s="1"/>
  <c r="CX80" i="1"/>
  <c r="W80" i="1" s="1"/>
  <c r="CZ80" i="1"/>
  <c r="Y80" i="1" s="1"/>
  <c r="FR80" i="1"/>
  <c r="GL80" i="1"/>
  <c r="GN80" i="1"/>
  <c r="GO80" i="1"/>
  <c r="GV80" i="1"/>
  <c r="HC80" i="1"/>
  <c r="GX80" i="1" s="1"/>
  <c r="P81" i="1"/>
  <c r="R81" i="1"/>
  <c r="GK81" i="1" s="1"/>
  <c r="AC81" i="1"/>
  <c r="AD81" i="1"/>
  <c r="AB81" i="1" s="1"/>
  <c r="AE81" i="1"/>
  <c r="Q81" i="1" s="1"/>
  <c r="AF81" i="1"/>
  <c r="S81" i="1" s="1"/>
  <c r="AG81" i="1"/>
  <c r="AH81" i="1"/>
  <c r="CV81" i="1" s="1"/>
  <c r="U81" i="1" s="1"/>
  <c r="AI81" i="1"/>
  <c r="AJ81" i="1"/>
  <c r="CX81" i="1" s="1"/>
  <c r="W81" i="1" s="1"/>
  <c r="CQ81" i="1"/>
  <c r="CR81" i="1"/>
  <c r="CS81" i="1"/>
  <c r="CU81" i="1"/>
  <c r="T81" i="1" s="1"/>
  <c r="CW81" i="1"/>
  <c r="V81" i="1" s="1"/>
  <c r="FR81" i="1"/>
  <c r="GL81" i="1"/>
  <c r="GN81" i="1"/>
  <c r="GO81" i="1"/>
  <c r="GV81" i="1"/>
  <c r="GX81" i="1"/>
  <c r="HC81" i="1"/>
  <c r="B83" i="1"/>
  <c r="B71" i="1" s="1"/>
  <c r="C83" i="1"/>
  <c r="C71" i="1" s="1"/>
  <c r="D83" i="1"/>
  <c r="D71" i="1" s="1"/>
  <c r="F83" i="1"/>
  <c r="F71" i="1" s="1"/>
  <c r="G83" i="1"/>
  <c r="G71" i="1" s="1"/>
  <c r="BX83" i="1"/>
  <c r="BX71" i="1" s="1"/>
  <c r="BY83" i="1"/>
  <c r="AP83" i="1" s="1"/>
  <c r="CC83" i="1"/>
  <c r="AT83" i="1" s="1"/>
  <c r="CK83" i="1"/>
  <c r="BB83" i="1" s="1"/>
  <c r="CL83" i="1"/>
  <c r="CL71" i="1" s="1"/>
  <c r="CM83" i="1"/>
  <c r="BD83" i="1" s="1"/>
  <c r="D113" i="1"/>
  <c r="E115" i="1"/>
  <c r="G115" i="1"/>
  <c r="Z115" i="1"/>
  <c r="AA115" i="1"/>
  <c r="AM115" i="1"/>
  <c r="AN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CB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DO115" i="1"/>
  <c r="DP115" i="1"/>
  <c r="DQ115" i="1"/>
  <c r="DR115" i="1"/>
  <c r="DS115" i="1"/>
  <c r="DT115" i="1"/>
  <c r="DU115" i="1"/>
  <c r="DV115" i="1"/>
  <c r="DW115" i="1"/>
  <c r="DX115" i="1"/>
  <c r="DY115" i="1"/>
  <c r="DZ115" i="1"/>
  <c r="EA115" i="1"/>
  <c r="EB115" i="1"/>
  <c r="EC115" i="1"/>
  <c r="ED115" i="1"/>
  <c r="EE115" i="1"/>
  <c r="EF115" i="1"/>
  <c r="EG115" i="1"/>
  <c r="EH115" i="1"/>
  <c r="EI115" i="1"/>
  <c r="EJ115" i="1"/>
  <c r="EK115" i="1"/>
  <c r="EL115" i="1"/>
  <c r="EM115" i="1"/>
  <c r="EN115" i="1"/>
  <c r="EO115" i="1"/>
  <c r="EP115" i="1"/>
  <c r="EQ115" i="1"/>
  <c r="ER115" i="1"/>
  <c r="ES115" i="1"/>
  <c r="ET115" i="1"/>
  <c r="EU115" i="1"/>
  <c r="EV115" i="1"/>
  <c r="EW115" i="1"/>
  <c r="EX115" i="1"/>
  <c r="EY115" i="1"/>
  <c r="EZ115" i="1"/>
  <c r="FA115" i="1"/>
  <c r="FB115" i="1"/>
  <c r="FC115" i="1"/>
  <c r="FD115" i="1"/>
  <c r="FE115" i="1"/>
  <c r="FF115" i="1"/>
  <c r="FG115" i="1"/>
  <c r="FH115" i="1"/>
  <c r="FI115" i="1"/>
  <c r="FJ115" i="1"/>
  <c r="FK115" i="1"/>
  <c r="FL115" i="1"/>
  <c r="FM115" i="1"/>
  <c r="FN115" i="1"/>
  <c r="FO115" i="1"/>
  <c r="FP115" i="1"/>
  <c r="FQ115" i="1"/>
  <c r="FR115" i="1"/>
  <c r="FS115" i="1"/>
  <c r="FT115" i="1"/>
  <c r="FU115" i="1"/>
  <c r="FV115" i="1"/>
  <c r="FW115" i="1"/>
  <c r="FX115" i="1"/>
  <c r="FY115" i="1"/>
  <c r="FZ115" i="1"/>
  <c r="GA115" i="1"/>
  <c r="GB115" i="1"/>
  <c r="GC115" i="1"/>
  <c r="GD115" i="1"/>
  <c r="GE115" i="1"/>
  <c r="GF115" i="1"/>
  <c r="GG115" i="1"/>
  <c r="GH115" i="1"/>
  <c r="GI115" i="1"/>
  <c r="GJ115" i="1"/>
  <c r="GK115" i="1"/>
  <c r="GL115" i="1"/>
  <c r="GM115" i="1"/>
  <c r="GN115" i="1"/>
  <c r="GO115" i="1"/>
  <c r="GP115" i="1"/>
  <c r="GQ115" i="1"/>
  <c r="GR115" i="1"/>
  <c r="GS115" i="1"/>
  <c r="GT115" i="1"/>
  <c r="GU115" i="1"/>
  <c r="GV115" i="1"/>
  <c r="GW115" i="1"/>
  <c r="GX115" i="1"/>
  <c r="I117" i="1"/>
  <c r="S117" i="1"/>
  <c r="W117" i="1"/>
  <c r="AC117" i="1"/>
  <c r="AE117" i="1"/>
  <c r="AF117" i="1"/>
  <c r="AG117" i="1"/>
  <c r="CU117" i="1" s="1"/>
  <c r="T117" i="1" s="1"/>
  <c r="AH117" i="1"/>
  <c r="AI117" i="1"/>
  <c r="CW117" i="1" s="1"/>
  <c r="V117" i="1" s="1"/>
  <c r="AJ117" i="1"/>
  <c r="CR117" i="1"/>
  <c r="CT117" i="1"/>
  <c r="CV117" i="1"/>
  <c r="U117" i="1" s="1"/>
  <c r="CX117" i="1"/>
  <c r="CZ117" i="1"/>
  <c r="Y117" i="1" s="1"/>
  <c r="FR117" i="1"/>
  <c r="GL117" i="1"/>
  <c r="GN117" i="1"/>
  <c r="GP117" i="1"/>
  <c r="GV117" i="1"/>
  <c r="HC117" i="1" s="1"/>
  <c r="GX117" i="1" s="1"/>
  <c r="CJ123" i="1" s="1"/>
  <c r="I118" i="1"/>
  <c r="S118" i="1"/>
  <c r="CY118" i="1" s="1"/>
  <c r="X118" i="1" s="1"/>
  <c r="U118" i="1"/>
  <c r="Y118" i="1"/>
  <c r="AC118" i="1"/>
  <c r="AE118" i="1"/>
  <c r="AF118" i="1"/>
  <c r="AG118" i="1"/>
  <c r="CU118" i="1" s="1"/>
  <c r="T118" i="1" s="1"/>
  <c r="AH118" i="1"/>
  <c r="AI118" i="1"/>
  <c r="CW118" i="1" s="1"/>
  <c r="V118" i="1" s="1"/>
  <c r="AI123" i="1" s="1"/>
  <c r="AJ118" i="1"/>
  <c r="CT118" i="1"/>
  <c r="CV118" i="1"/>
  <c r="CX118" i="1"/>
  <c r="W118" i="1" s="1"/>
  <c r="CZ118" i="1"/>
  <c r="FR118" i="1"/>
  <c r="GL118" i="1"/>
  <c r="GN118" i="1"/>
  <c r="GP118" i="1"/>
  <c r="GV118" i="1"/>
  <c r="HC118" i="1"/>
  <c r="GX118" i="1" s="1"/>
  <c r="P119" i="1"/>
  <c r="R119" i="1"/>
  <c r="GK119" i="1" s="1"/>
  <c r="V119" i="1"/>
  <c r="AC119" i="1"/>
  <c r="AD119" i="1"/>
  <c r="AB119" i="1" s="1"/>
  <c r="AE119" i="1"/>
  <c r="Q119" i="1" s="1"/>
  <c r="AF119" i="1"/>
  <c r="AG119" i="1"/>
  <c r="AH119" i="1"/>
  <c r="CV119" i="1" s="1"/>
  <c r="U119" i="1" s="1"/>
  <c r="AI119" i="1"/>
  <c r="AJ119" i="1"/>
  <c r="CX119" i="1" s="1"/>
  <c r="W119" i="1" s="1"/>
  <c r="CQ119" i="1"/>
  <c r="CR119" i="1"/>
  <c r="CS119" i="1"/>
  <c r="CU119" i="1"/>
  <c r="T119" i="1" s="1"/>
  <c r="CW119" i="1"/>
  <c r="FR119" i="1"/>
  <c r="GL119" i="1"/>
  <c r="GN119" i="1"/>
  <c r="GP119" i="1"/>
  <c r="GV119" i="1"/>
  <c r="GX119" i="1"/>
  <c r="HC119" i="1"/>
  <c r="I120" i="1"/>
  <c r="Q120" i="1" s="1"/>
  <c r="R120" i="1"/>
  <c r="GK120" i="1" s="1"/>
  <c r="V120" i="1"/>
  <c r="AC120" i="1"/>
  <c r="AD120" i="1"/>
  <c r="AB120" i="1" s="1"/>
  <c r="AE120" i="1"/>
  <c r="AF120" i="1"/>
  <c r="AG120" i="1"/>
  <c r="AH120" i="1"/>
  <c r="CV120" i="1" s="1"/>
  <c r="U120" i="1" s="1"/>
  <c r="AI120" i="1"/>
  <c r="AJ120" i="1"/>
  <c r="CX120" i="1" s="1"/>
  <c r="W120" i="1" s="1"/>
  <c r="CQ120" i="1"/>
  <c r="CR120" i="1"/>
  <c r="CS120" i="1"/>
  <c r="CU120" i="1"/>
  <c r="T120" i="1" s="1"/>
  <c r="CW120" i="1"/>
  <c r="FR120" i="1"/>
  <c r="GL120" i="1"/>
  <c r="GN120" i="1"/>
  <c r="GP120" i="1"/>
  <c r="GV120" i="1"/>
  <c r="GX120" i="1"/>
  <c r="HC120" i="1"/>
  <c r="S121" i="1"/>
  <c r="CY121" i="1" s="1"/>
  <c r="X121" i="1" s="1"/>
  <c r="W121" i="1"/>
  <c r="AC121" i="1"/>
  <c r="AE121" i="1"/>
  <c r="AF121" i="1"/>
  <c r="AG121" i="1"/>
  <c r="CU121" i="1" s="1"/>
  <c r="T121" i="1" s="1"/>
  <c r="AH121" i="1"/>
  <c r="AI121" i="1"/>
  <c r="CW121" i="1" s="1"/>
  <c r="V121" i="1" s="1"/>
  <c r="AJ121" i="1"/>
  <c r="CR121" i="1"/>
  <c r="CT121" i="1"/>
  <c r="CV121" i="1"/>
  <c r="U121" i="1" s="1"/>
  <c r="CX121" i="1"/>
  <c r="CZ121" i="1"/>
  <c r="Y121" i="1" s="1"/>
  <c r="FR121" i="1"/>
  <c r="GL121" i="1"/>
  <c r="GN121" i="1"/>
  <c r="GO121" i="1"/>
  <c r="GV121" i="1"/>
  <c r="HC121" i="1"/>
  <c r="GX121" i="1" s="1"/>
  <c r="B123" i="1"/>
  <c r="B115" i="1" s="1"/>
  <c r="C123" i="1"/>
  <c r="C115" i="1" s="1"/>
  <c r="D123" i="1"/>
  <c r="D115" i="1" s="1"/>
  <c r="F123" i="1"/>
  <c r="F115" i="1" s="1"/>
  <c r="G123" i="1"/>
  <c r="BC123" i="1"/>
  <c r="BC115" i="1" s="1"/>
  <c r="BX123" i="1"/>
  <c r="BZ123" i="1"/>
  <c r="AQ123" i="1" s="1"/>
  <c r="CB123" i="1"/>
  <c r="AS123" i="1" s="1"/>
  <c r="CK123" i="1"/>
  <c r="CK115" i="1" s="1"/>
  <c r="CL123" i="1"/>
  <c r="CL115" i="1" s="1"/>
  <c r="CM123" i="1"/>
  <c r="CM115" i="1" s="1"/>
  <c r="F139" i="1"/>
  <c r="B153" i="1"/>
  <c r="B22" i="1" s="1"/>
  <c r="C153" i="1"/>
  <c r="C22" i="1" s="1"/>
  <c r="D153" i="1"/>
  <c r="D22" i="1" s="1"/>
  <c r="F153" i="1"/>
  <c r="F22" i="1" s="1"/>
  <c r="G153" i="1"/>
  <c r="G22" i="1" s="1"/>
  <c r="B183" i="1"/>
  <c r="B18" i="1" s="1"/>
  <c r="C183" i="1"/>
  <c r="C18" i="1" s="1"/>
  <c r="D183" i="1"/>
  <c r="D18" i="1" s="1"/>
  <c r="F183" i="1"/>
  <c r="F18" i="1" s="1"/>
  <c r="G183" i="1"/>
  <c r="G18" i="1" l="1"/>
  <c r="A231" i="6"/>
  <c r="AL224" i="5"/>
  <c r="AL231" i="6"/>
  <c r="A224" i="5"/>
  <c r="I25" i="5"/>
  <c r="J224" i="5"/>
  <c r="H216" i="5"/>
  <c r="I227" i="6"/>
  <c r="I145" i="6"/>
  <c r="I231" i="6"/>
  <c r="I223" i="6"/>
  <c r="I205" i="6"/>
  <c r="K231" i="6"/>
  <c r="K227" i="6"/>
  <c r="K145" i="6"/>
  <c r="H138" i="5"/>
  <c r="I21" i="5"/>
  <c r="H224" i="5"/>
  <c r="H220" i="5"/>
  <c r="J220" i="5"/>
  <c r="J198" i="5"/>
  <c r="H198" i="5"/>
  <c r="I26" i="5"/>
  <c r="I23" i="5"/>
  <c r="J138" i="5"/>
  <c r="AQ115" i="1"/>
  <c r="F133" i="1"/>
  <c r="AH123" i="1"/>
  <c r="AS115" i="1"/>
  <c r="F140" i="1"/>
  <c r="AG123" i="1"/>
  <c r="AI115" i="1"/>
  <c r="V123" i="1"/>
  <c r="CJ115" i="1"/>
  <c r="BA123" i="1"/>
  <c r="S120" i="1"/>
  <c r="CT120" i="1"/>
  <c r="S119" i="1"/>
  <c r="CT119" i="1"/>
  <c r="R118" i="1"/>
  <c r="GK118" i="1" s="1"/>
  <c r="AD118" i="1"/>
  <c r="CS118" i="1"/>
  <c r="Q118" i="1"/>
  <c r="P117" i="1"/>
  <c r="CQ117" i="1"/>
  <c r="CY117" i="1"/>
  <c r="X117" i="1" s="1"/>
  <c r="AF123" i="1"/>
  <c r="CG123" i="1"/>
  <c r="AO123" i="1"/>
  <c r="R121" i="1"/>
  <c r="GK121" i="1" s="1"/>
  <c r="AD121" i="1"/>
  <c r="CS121" i="1"/>
  <c r="Q121" i="1"/>
  <c r="P120" i="1"/>
  <c r="CP120" i="1" s="1"/>
  <c r="O120" i="1" s="1"/>
  <c r="BY123" i="1"/>
  <c r="CP119" i="1"/>
  <c r="O119" i="1" s="1"/>
  <c r="CR118" i="1"/>
  <c r="P118" i="1"/>
  <c r="CP118" i="1" s="1"/>
  <c r="O118" i="1" s="1"/>
  <c r="AB118" i="1"/>
  <c r="CQ118" i="1"/>
  <c r="R117" i="1"/>
  <c r="AD117" i="1"/>
  <c r="AB117" i="1" s="1"/>
  <c r="CS117" i="1"/>
  <c r="Q117" i="1"/>
  <c r="AD123" i="1" s="1"/>
  <c r="BZ115" i="1"/>
  <c r="AT71" i="1"/>
  <c r="F101" i="1"/>
  <c r="CY81" i="1"/>
  <c r="X81" i="1" s="1"/>
  <c r="CZ81" i="1"/>
  <c r="Y81" i="1" s="1"/>
  <c r="BZ71" i="1"/>
  <c r="CG83" i="1"/>
  <c r="CI83" i="1"/>
  <c r="AQ83" i="1"/>
  <c r="CP78" i="1"/>
  <c r="O78" i="1" s="1"/>
  <c r="CP77" i="1"/>
  <c r="O77" i="1" s="1"/>
  <c r="CY76" i="1"/>
  <c r="X76" i="1" s="1"/>
  <c r="GM76" i="1" s="1"/>
  <c r="CZ76" i="1"/>
  <c r="Y76" i="1" s="1"/>
  <c r="CP75" i="1"/>
  <c r="O75" i="1" s="1"/>
  <c r="CP74" i="1"/>
  <c r="O74" i="1" s="1"/>
  <c r="AC83" i="1"/>
  <c r="AG83" i="1"/>
  <c r="AJ83" i="1"/>
  <c r="AH83" i="1"/>
  <c r="CY73" i="1"/>
  <c r="X73" i="1" s="1"/>
  <c r="AF83" i="1"/>
  <c r="CZ73" i="1"/>
  <c r="Y73" i="1" s="1"/>
  <c r="AL83" i="1" s="1"/>
  <c r="P121" i="1"/>
  <c r="CP121" i="1" s="1"/>
  <c r="O121" i="1" s="1"/>
  <c r="AB121" i="1"/>
  <c r="CQ121" i="1"/>
  <c r="AJ123" i="1"/>
  <c r="BD71" i="1"/>
  <c r="F108" i="1"/>
  <c r="BB71" i="1"/>
  <c r="F96" i="1"/>
  <c r="AP71" i="1"/>
  <c r="F92" i="1"/>
  <c r="CP81" i="1"/>
  <c r="O81" i="1" s="1"/>
  <c r="GM80" i="1"/>
  <c r="CB71" i="1"/>
  <c r="AS83" i="1"/>
  <c r="CY78" i="1"/>
  <c r="X78" i="1" s="1"/>
  <c r="CZ78" i="1"/>
  <c r="Y78" i="1" s="1"/>
  <c r="GP76" i="1"/>
  <c r="CY75" i="1"/>
  <c r="X75" i="1" s="1"/>
  <c r="CZ75" i="1"/>
  <c r="Y75" i="1" s="1"/>
  <c r="CJ83" i="1"/>
  <c r="AI83" i="1"/>
  <c r="AD83" i="1"/>
  <c r="CP73" i="1"/>
  <c r="O73" i="1" s="1"/>
  <c r="BD123" i="1"/>
  <c r="BB123" i="1"/>
  <c r="BC83" i="1"/>
  <c r="AO83" i="1"/>
  <c r="CT81" i="1"/>
  <c r="CS80" i="1"/>
  <c r="CQ80" i="1"/>
  <c r="AD80" i="1"/>
  <c r="AB80" i="1"/>
  <c r="R80" i="1"/>
  <c r="GK80" i="1" s="1"/>
  <c r="GP80" i="1" s="1"/>
  <c r="CS79" i="1"/>
  <c r="CQ79" i="1"/>
  <c r="AD79" i="1"/>
  <c r="AB79" i="1" s="1"/>
  <c r="R79" i="1"/>
  <c r="GK79" i="1" s="1"/>
  <c r="GM79" i="1" s="1"/>
  <c r="CT78" i="1"/>
  <c r="CS77" i="1"/>
  <c r="CQ77" i="1"/>
  <c r="AD77" i="1"/>
  <c r="AB77" i="1" s="1"/>
  <c r="R77" i="1"/>
  <c r="GK77" i="1" s="1"/>
  <c r="CT76" i="1"/>
  <c r="CT75" i="1"/>
  <c r="CS74" i="1"/>
  <c r="CQ74" i="1"/>
  <c r="AD74" i="1"/>
  <c r="AB74" i="1"/>
  <c r="R74" i="1"/>
  <c r="CT73" i="1"/>
  <c r="CM71" i="1"/>
  <c r="CK71" i="1"/>
  <c r="CC71" i="1"/>
  <c r="BY71" i="1"/>
  <c r="AI39" i="1"/>
  <c r="CJ39" i="1"/>
  <c r="CM26" i="1"/>
  <c r="BD39" i="1"/>
  <c r="CK26" i="1"/>
  <c r="BB39" i="1"/>
  <c r="CG26" i="1"/>
  <c r="AX39" i="1"/>
  <c r="AS39" i="1"/>
  <c r="AO39" i="1"/>
  <c r="P37" i="1"/>
  <c r="AB37" i="1"/>
  <c r="CQ37" i="1"/>
  <c r="R36" i="1"/>
  <c r="GK36" i="1" s="1"/>
  <c r="AD36" i="1"/>
  <c r="CS36" i="1"/>
  <c r="Q36" i="1"/>
  <c r="P35" i="1"/>
  <c r="CP35" i="1" s="1"/>
  <c r="O35" i="1" s="1"/>
  <c r="CQ35" i="1"/>
  <c r="R34" i="1"/>
  <c r="GK34" i="1" s="1"/>
  <c r="AD34" i="1"/>
  <c r="CS34" i="1"/>
  <c r="Q34" i="1"/>
  <c r="BY39" i="1"/>
  <c r="AH39" i="1"/>
  <c r="AJ39" i="1"/>
  <c r="BC39" i="1"/>
  <c r="AU39" i="1"/>
  <c r="AQ39" i="1"/>
  <c r="AG26" i="1"/>
  <c r="T39" i="1"/>
  <c r="R37" i="1"/>
  <c r="GK37" i="1" s="1"/>
  <c r="AD37" i="1"/>
  <c r="CS37" i="1"/>
  <c r="Q37" i="1"/>
  <c r="CR36" i="1"/>
  <c r="P36" i="1"/>
  <c r="CP36" i="1" s="1"/>
  <c r="O36" i="1" s="1"/>
  <c r="AB36" i="1"/>
  <c r="CQ36" i="1"/>
  <c r="R35" i="1"/>
  <c r="GK35" i="1" s="1"/>
  <c r="AD35" i="1"/>
  <c r="AB35" i="1" s="1"/>
  <c r="CS35" i="1"/>
  <c r="Q35" i="1"/>
  <c r="CR34" i="1"/>
  <c r="P34" i="1"/>
  <c r="AB34" i="1"/>
  <c r="CQ34" i="1"/>
  <c r="S33" i="1"/>
  <c r="CP33" i="1" s="1"/>
  <c r="O33" i="1" s="1"/>
  <c r="CT33" i="1"/>
  <c r="S32" i="1"/>
  <c r="CT32" i="1"/>
  <c r="S31" i="1"/>
  <c r="CP31" i="1" s="1"/>
  <c r="O31" i="1" s="1"/>
  <c r="CT31" i="1"/>
  <c r="S30" i="1"/>
  <c r="CT30" i="1"/>
  <c r="P28" i="1"/>
  <c r="AB28" i="1"/>
  <c r="CQ28" i="1"/>
  <c r="CY28" i="1"/>
  <c r="X28" i="1" s="1"/>
  <c r="S29" i="1"/>
  <c r="CT29" i="1"/>
  <c r="R28" i="1"/>
  <c r="AD28" i="1"/>
  <c r="CS28" i="1"/>
  <c r="Q28" i="1"/>
  <c r="GK28" i="1" l="1"/>
  <c r="AE39" i="1"/>
  <c r="CY29" i="1"/>
  <c r="X29" i="1" s="1"/>
  <c r="CZ29" i="1"/>
  <c r="Y29" i="1" s="1"/>
  <c r="CZ30" i="1"/>
  <c r="Y30" i="1" s="1"/>
  <c r="CY30" i="1"/>
  <c r="X30" i="1" s="1"/>
  <c r="CZ32" i="1"/>
  <c r="Y32" i="1" s="1"/>
  <c r="CY32" i="1"/>
  <c r="X32" i="1" s="1"/>
  <c r="AU26" i="1"/>
  <c r="F58" i="1"/>
  <c r="BY26" i="1"/>
  <c r="AP39" i="1"/>
  <c r="CI39" i="1"/>
  <c r="CP32" i="1"/>
  <c r="O32" i="1" s="1"/>
  <c r="AD39" i="1"/>
  <c r="AF39" i="1"/>
  <c r="CP28" i="1"/>
  <c r="O28" i="1" s="1"/>
  <c r="AC39" i="1"/>
  <c r="CP34" i="1"/>
  <c r="O34" i="1" s="1"/>
  <c r="GM36" i="1"/>
  <c r="GO36" i="1"/>
  <c r="T26" i="1"/>
  <c r="F60" i="1"/>
  <c r="AQ26" i="1"/>
  <c r="F49" i="1"/>
  <c r="AQ153" i="1"/>
  <c r="BC26" i="1"/>
  <c r="F55" i="1"/>
  <c r="BC153" i="1"/>
  <c r="AH26" i="1"/>
  <c r="U39" i="1"/>
  <c r="CP30" i="1"/>
  <c r="O30" i="1" s="1"/>
  <c r="CP37" i="1"/>
  <c r="O37" i="1" s="1"/>
  <c r="AS26" i="1"/>
  <c r="F56" i="1"/>
  <c r="AS153" i="1"/>
  <c r="AI26" i="1"/>
  <c r="V39" i="1"/>
  <c r="GK74" i="1"/>
  <c r="GP74" i="1" s="1"/>
  <c r="AE83" i="1"/>
  <c r="AO71" i="1"/>
  <c r="F87" i="1"/>
  <c r="F136" i="1"/>
  <c r="BB115" i="1"/>
  <c r="GP73" i="1"/>
  <c r="AB83" i="1"/>
  <c r="GM73" i="1"/>
  <c r="V83" i="1"/>
  <c r="AI71" i="1"/>
  <c r="F100" i="1"/>
  <c r="AS71" i="1"/>
  <c r="GP79" i="1"/>
  <c r="GP81" i="1"/>
  <c r="GM81" i="1"/>
  <c r="GP121" i="1"/>
  <c r="CD123" i="1" s="1"/>
  <c r="GM121" i="1"/>
  <c r="AF71" i="1"/>
  <c r="S83" i="1"/>
  <c r="AH71" i="1"/>
  <c r="U83" i="1"/>
  <c r="T83" i="1"/>
  <c r="AG71" i="1"/>
  <c r="GM74" i="1"/>
  <c r="GM77" i="1"/>
  <c r="GP77" i="1"/>
  <c r="AQ71" i="1"/>
  <c r="F93" i="1"/>
  <c r="AX83" i="1"/>
  <c r="CG71" i="1"/>
  <c r="AE123" i="1"/>
  <c r="GK117" i="1"/>
  <c r="BY115" i="1"/>
  <c r="AP123" i="1"/>
  <c r="CI123" i="1"/>
  <c r="AO115" i="1"/>
  <c r="F127" i="1"/>
  <c r="S123" i="1"/>
  <c r="AF115" i="1"/>
  <c r="AC123" i="1"/>
  <c r="CP117" i="1"/>
  <c r="O117" i="1" s="1"/>
  <c r="CZ119" i="1"/>
  <c r="Y119" i="1" s="1"/>
  <c r="CY119" i="1"/>
  <c r="X119" i="1" s="1"/>
  <c r="GM119" i="1" s="1"/>
  <c r="CZ120" i="1"/>
  <c r="Y120" i="1" s="1"/>
  <c r="CY120" i="1"/>
  <c r="X120" i="1" s="1"/>
  <c r="GM120" i="1" s="1"/>
  <c r="BA115" i="1"/>
  <c r="F143" i="1"/>
  <c r="F146" i="1"/>
  <c r="V115" i="1"/>
  <c r="AG115" i="1"/>
  <c r="T123" i="1"/>
  <c r="CP29" i="1"/>
  <c r="O29" i="1" s="1"/>
  <c r="CZ31" i="1"/>
  <c r="Y31" i="1" s="1"/>
  <c r="CY31" i="1"/>
  <c r="X31" i="1" s="1"/>
  <c r="GM31" i="1" s="1"/>
  <c r="CZ33" i="1"/>
  <c r="Y33" i="1" s="1"/>
  <c r="CY33" i="1"/>
  <c r="X33" i="1" s="1"/>
  <c r="GM33" i="1" s="1"/>
  <c r="AJ26" i="1"/>
  <c r="W39" i="1"/>
  <c r="GM35" i="1"/>
  <c r="GO35" i="1"/>
  <c r="AO26" i="1"/>
  <c r="F43" i="1"/>
  <c r="AO153" i="1"/>
  <c r="AX26" i="1"/>
  <c r="F46" i="1"/>
  <c r="BB26" i="1"/>
  <c r="F52" i="1"/>
  <c r="BB153" i="1"/>
  <c r="BD26" i="1"/>
  <c r="F64" i="1"/>
  <c r="BD153" i="1"/>
  <c r="CJ26" i="1"/>
  <c r="BA39" i="1"/>
  <c r="BC71" i="1"/>
  <c r="F99" i="1"/>
  <c r="F148" i="1"/>
  <c r="BD115" i="1"/>
  <c r="AD71" i="1"/>
  <c r="Q83" i="1"/>
  <c r="CJ71" i="1"/>
  <c r="BA83" i="1"/>
  <c r="W123" i="1"/>
  <c r="AJ115" i="1"/>
  <c r="AL71" i="1"/>
  <c r="Y83" i="1"/>
  <c r="AK83" i="1"/>
  <c r="AJ71" i="1"/>
  <c r="W83" i="1"/>
  <c r="P83" i="1"/>
  <c r="CE83" i="1"/>
  <c r="AC71" i="1"/>
  <c r="CF83" i="1"/>
  <c r="CH83" i="1"/>
  <c r="GP75" i="1"/>
  <c r="GM75" i="1"/>
  <c r="GP78" i="1"/>
  <c r="GM78" i="1"/>
  <c r="AZ83" i="1"/>
  <c r="CI71" i="1"/>
  <c r="AD115" i="1"/>
  <c r="Q123" i="1"/>
  <c r="GM118" i="1"/>
  <c r="GO118" i="1"/>
  <c r="GO119" i="1"/>
  <c r="GO120" i="1"/>
  <c r="CG115" i="1"/>
  <c r="AX123" i="1"/>
  <c r="AH115" i="1"/>
  <c r="U123" i="1"/>
  <c r="CH71" i="1" l="1"/>
  <c r="AY83" i="1"/>
  <c r="P71" i="1"/>
  <c r="F86" i="1"/>
  <c r="F110" i="1"/>
  <c r="Y71" i="1"/>
  <c r="BA71" i="1"/>
  <c r="F103" i="1"/>
  <c r="BD22" i="1"/>
  <c r="BD183" i="1"/>
  <c r="F178" i="1"/>
  <c r="GM29" i="1"/>
  <c r="GO29" i="1"/>
  <c r="AB123" i="1"/>
  <c r="GM117" i="1"/>
  <c r="CA123" i="1" s="1"/>
  <c r="GO117" i="1"/>
  <c r="CC123" i="1" s="1"/>
  <c r="AE115" i="1"/>
  <c r="R123" i="1"/>
  <c r="U115" i="1"/>
  <c r="F145" i="1"/>
  <c r="AK123" i="1"/>
  <c r="AZ71" i="1"/>
  <c r="F94" i="1"/>
  <c r="CF71" i="1"/>
  <c r="AW83" i="1"/>
  <c r="AV83" i="1"/>
  <c r="CE71" i="1"/>
  <c r="W71" i="1"/>
  <c r="F107" i="1"/>
  <c r="X83" i="1"/>
  <c r="AK71" i="1"/>
  <c r="W115" i="1"/>
  <c r="F147" i="1"/>
  <c r="BB22" i="1"/>
  <c r="F166" i="1"/>
  <c r="BB183" i="1"/>
  <c r="AO22" i="1"/>
  <c r="F157" i="1"/>
  <c r="AO183" i="1"/>
  <c r="AK39" i="1"/>
  <c r="AL123" i="1"/>
  <c r="AC115" i="1"/>
  <c r="P123" i="1"/>
  <c r="CE123" i="1"/>
  <c r="CF123" i="1"/>
  <c r="CH123" i="1"/>
  <c r="S115" i="1"/>
  <c r="F138" i="1"/>
  <c r="F132" i="1"/>
  <c r="AP115" i="1"/>
  <c r="U71" i="1"/>
  <c r="F105" i="1"/>
  <c r="F98" i="1"/>
  <c r="S71" i="1"/>
  <c r="V71" i="1"/>
  <c r="F106" i="1"/>
  <c r="AB71" i="1"/>
  <c r="O83" i="1"/>
  <c r="R83" i="1"/>
  <c r="AE71" i="1"/>
  <c r="V26" i="1"/>
  <c r="F62" i="1"/>
  <c r="V153" i="1"/>
  <c r="AS22" i="1"/>
  <c r="F170" i="1"/>
  <c r="E16" i="2" s="1"/>
  <c r="AS183" i="1"/>
  <c r="GM30" i="1"/>
  <c r="GO30" i="1"/>
  <c r="AQ22" i="1"/>
  <c r="AQ183" i="1"/>
  <c r="F163" i="1"/>
  <c r="GM34" i="1"/>
  <c r="GO34" i="1"/>
  <c r="AB39" i="1"/>
  <c r="GM28" i="1"/>
  <c r="GO28" i="1"/>
  <c r="AD26" i="1"/>
  <c r="Q39" i="1"/>
  <c r="CI26" i="1"/>
  <c r="AZ39" i="1"/>
  <c r="AL39" i="1"/>
  <c r="AE26" i="1"/>
  <c r="R39" i="1"/>
  <c r="GO33" i="1"/>
  <c r="GO31" i="1"/>
  <c r="F130" i="1"/>
  <c r="AX115" i="1"/>
  <c r="Q115" i="1"/>
  <c r="F135" i="1"/>
  <c r="Q71" i="1"/>
  <c r="F95" i="1"/>
  <c r="BA26" i="1"/>
  <c r="F59" i="1"/>
  <c r="BA153" i="1"/>
  <c r="AX153" i="1"/>
  <c r="W26" i="1"/>
  <c r="F63" i="1"/>
  <c r="W153" i="1"/>
  <c r="F144" i="1"/>
  <c r="T115" i="1"/>
  <c r="CI115" i="1"/>
  <c r="AZ123" i="1"/>
  <c r="AX71" i="1"/>
  <c r="F90" i="1"/>
  <c r="T71" i="1"/>
  <c r="F104" i="1"/>
  <c r="AU123" i="1"/>
  <c r="CD115" i="1"/>
  <c r="CA83" i="1"/>
  <c r="CD83" i="1"/>
  <c r="GM37" i="1"/>
  <c r="GO37" i="1"/>
  <c r="U26" i="1"/>
  <c r="F61" i="1"/>
  <c r="U153" i="1"/>
  <c r="BC22" i="1"/>
  <c r="BC183" i="1"/>
  <c r="F169" i="1"/>
  <c r="T153" i="1"/>
  <c r="AC26" i="1"/>
  <c r="P39" i="1"/>
  <c r="CF39" i="1"/>
  <c r="CH39" i="1"/>
  <c r="CE39" i="1"/>
  <c r="AF26" i="1"/>
  <c r="S39" i="1"/>
  <c r="GM32" i="1"/>
  <c r="GO32" i="1"/>
  <c r="AP26" i="1"/>
  <c r="F48" i="1"/>
  <c r="AP153" i="1"/>
  <c r="AP22" i="1" l="1"/>
  <c r="F162" i="1"/>
  <c r="G16" i="2" s="1"/>
  <c r="G18" i="2" s="1"/>
  <c r="AP183" i="1"/>
  <c r="P26" i="1"/>
  <c r="F42" i="1"/>
  <c r="P153" i="1"/>
  <c r="AR83" i="1"/>
  <c r="CA71" i="1"/>
  <c r="AX22" i="1"/>
  <c r="F160" i="1"/>
  <c r="AX183" i="1"/>
  <c r="AL26" i="1"/>
  <c r="Y39" i="1"/>
  <c r="CA39" i="1"/>
  <c r="E18" i="2"/>
  <c r="V22" i="1"/>
  <c r="F176" i="1"/>
  <c r="V183" i="1"/>
  <c r="R71" i="1"/>
  <c r="F97" i="1"/>
  <c r="CF115" i="1"/>
  <c r="AW123" i="1"/>
  <c r="F126" i="1"/>
  <c r="P115" i="1"/>
  <c r="S26" i="1"/>
  <c r="F54" i="1"/>
  <c r="S153" i="1"/>
  <c r="CE26" i="1"/>
  <c r="AV39" i="1"/>
  <c r="CF26" i="1"/>
  <c r="AW39" i="1"/>
  <c r="CD71" i="1"/>
  <c r="AU83" i="1"/>
  <c r="F134" i="1"/>
  <c r="AZ115" i="1"/>
  <c r="W22" i="1"/>
  <c r="W183" i="1"/>
  <c r="F177" i="1"/>
  <c r="BA22" i="1"/>
  <c r="BA183" i="1"/>
  <c r="F173" i="1"/>
  <c r="AZ26" i="1"/>
  <c r="F50" i="1"/>
  <c r="AZ153" i="1"/>
  <c r="Q26" i="1"/>
  <c r="F51" i="1"/>
  <c r="Q153" i="1"/>
  <c r="CC39" i="1"/>
  <c r="AB26" i="1"/>
  <c r="O39" i="1"/>
  <c r="AQ18" i="1"/>
  <c r="F193" i="1"/>
  <c r="AS18" i="1"/>
  <c r="F200" i="1"/>
  <c r="O71" i="1"/>
  <c r="F85" i="1"/>
  <c r="CH115" i="1"/>
  <c r="AY123" i="1"/>
  <c r="CE115" i="1"/>
  <c r="AV123" i="1"/>
  <c r="AK26" i="1"/>
  <c r="X39" i="1"/>
  <c r="BB18" i="1"/>
  <c r="F196" i="1"/>
  <c r="X71" i="1"/>
  <c r="F109" i="1"/>
  <c r="AV71" i="1"/>
  <c r="F88" i="1"/>
  <c r="R115" i="1"/>
  <c r="F137" i="1"/>
  <c r="CC115" i="1"/>
  <c r="AT123" i="1"/>
  <c r="O123" i="1"/>
  <c r="AB115" i="1"/>
  <c r="BD18" i="1"/>
  <c r="F208" i="1"/>
  <c r="AY71" i="1"/>
  <c r="F91" i="1"/>
  <c r="CH26" i="1"/>
  <c r="AY39" i="1"/>
  <c r="T22" i="1"/>
  <c r="F174" i="1"/>
  <c r="T183" i="1"/>
  <c r="BC18" i="1"/>
  <c r="F199" i="1"/>
  <c r="U22" i="1"/>
  <c r="F175" i="1"/>
  <c r="U183" i="1"/>
  <c r="AU115" i="1"/>
  <c r="F142" i="1"/>
  <c r="R26" i="1"/>
  <c r="F53" i="1"/>
  <c r="R153" i="1"/>
  <c r="AL115" i="1"/>
  <c r="Y123" i="1"/>
  <c r="AO18" i="1"/>
  <c r="F187" i="1"/>
  <c r="AW71" i="1"/>
  <c r="F89" i="1"/>
  <c r="AK115" i="1"/>
  <c r="X123" i="1"/>
  <c r="CA115" i="1"/>
  <c r="AR123" i="1"/>
  <c r="X115" i="1" l="1"/>
  <c r="F149" i="1"/>
  <c r="R22" i="1"/>
  <c r="F167" i="1"/>
  <c r="R183" i="1"/>
  <c r="T18" i="1"/>
  <c r="F204" i="1"/>
  <c r="O115" i="1"/>
  <c r="F125" i="1"/>
  <c r="Q22" i="1"/>
  <c r="Q183" i="1"/>
  <c r="F165" i="1"/>
  <c r="W18" i="1"/>
  <c r="F207" i="1"/>
  <c r="F102" i="1"/>
  <c r="AU71" i="1"/>
  <c r="AU153" i="1"/>
  <c r="AW26" i="1"/>
  <c r="F45" i="1"/>
  <c r="AW153" i="1"/>
  <c r="AV26" i="1"/>
  <c r="F44" i="1"/>
  <c r="AV153" i="1"/>
  <c r="S22" i="1"/>
  <c r="S183" i="1"/>
  <c r="F168" i="1"/>
  <c r="J16" i="2" s="1"/>
  <c r="J18" i="2" s="1"/>
  <c r="CA26" i="1"/>
  <c r="AR39" i="1"/>
  <c r="P22" i="1"/>
  <c r="P183" i="1"/>
  <c r="F156" i="1"/>
  <c r="AR115" i="1"/>
  <c r="F151" i="1"/>
  <c r="Y115" i="1"/>
  <c r="F150" i="1"/>
  <c r="U18" i="1"/>
  <c r="F205" i="1"/>
  <c r="AY26" i="1"/>
  <c r="F47" i="1"/>
  <c r="AY153" i="1"/>
  <c r="AT115" i="1"/>
  <c r="F141" i="1"/>
  <c r="X26" i="1"/>
  <c r="F65" i="1"/>
  <c r="X153" i="1"/>
  <c r="F128" i="1"/>
  <c r="AV115" i="1"/>
  <c r="AY115" i="1"/>
  <c r="F131" i="1"/>
  <c r="O26" i="1"/>
  <c r="F41" i="1"/>
  <c r="O153" i="1"/>
  <c r="CC26" i="1"/>
  <c r="AT39" i="1"/>
  <c r="AZ22" i="1"/>
  <c r="AZ183" i="1"/>
  <c r="F164" i="1"/>
  <c r="BA18" i="1"/>
  <c r="F203" i="1"/>
  <c r="AW115" i="1"/>
  <c r="F129" i="1"/>
  <c r="V18" i="1"/>
  <c r="F206" i="1"/>
  <c r="Y26" i="1"/>
  <c r="F66" i="1"/>
  <c r="Y153" i="1"/>
  <c r="AX18" i="1"/>
  <c r="F190" i="1"/>
  <c r="AR71" i="1"/>
  <c r="F111" i="1"/>
  <c r="AP18" i="1"/>
  <c r="F192" i="1"/>
  <c r="Y22" i="1" l="1"/>
  <c r="Y183" i="1"/>
  <c r="F180" i="1"/>
  <c r="AZ18" i="1"/>
  <c r="F194" i="1"/>
  <c r="AT26" i="1"/>
  <c r="F57" i="1"/>
  <c r="AT153" i="1"/>
  <c r="O22" i="1"/>
  <c r="F155" i="1"/>
  <c r="O183" i="1"/>
  <c r="AY22" i="1"/>
  <c r="F161" i="1"/>
  <c r="AY183" i="1"/>
  <c r="P18" i="1"/>
  <c r="F186" i="1"/>
  <c r="AR26" i="1"/>
  <c r="F67" i="1"/>
  <c r="AR153" i="1"/>
  <c r="AW22" i="1"/>
  <c r="F159" i="1"/>
  <c r="AW183" i="1"/>
  <c r="X22" i="1"/>
  <c r="F179" i="1"/>
  <c r="X183" i="1"/>
  <c r="S18" i="1"/>
  <c r="F198" i="1"/>
  <c r="AV22" i="1"/>
  <c r="AV183" i="1"/>
  <c r="F158" i="1"/>
  <c r="AU22" i="1"/>
  <c r="F172" i="1"/>
  <c r="H16" i="2" s="1"/>
  <c r="H18" i="2" s="1"/>
  <c r="AU183" i="1"/>
  <c r="Q18" i="1"/>
  <c r="F195" i="1"/>
  <c r="R18" i="1"/>
  <c r="F197" i="1"/>
  <c r="AU18" i="1" l="1"/>
  <c r="F202" i="1"/>
  <c r="AW18" i="1"/>
  <c r="F189" i="1"/>
  <c r="AY18" i="1"/>
  <c r="F191" i="1"/>
  <c r="AT22" i="1"/>
  <c r="F171" i="1"/>
  <c r="F16" i="2" s="1"/>
  <c r="AT183" i="1"/>
  <c r="Y18" i="1"/>
  <c r="F210" i="1"/>
  <c r="AV18" i="1"/>
  <c r="F188" i="1"/>
  <c r="X18" i="1"/>
  <c r="F209" i="1"/>
  <c r="AR22" i="1"/>
  <c r="AR183" i="1"/>
  <c r="F181" i="1"/>
  <c r="O18" i="1"/>
  <c r="F185" i="1"/>
  <c r="F18" i="2" l="1"/>
  <c r="I16" i="2"/>
  <c r="I18" i="2" s="1"/>
  <c r="AR18" i="1"/>
  <c r="F211" i="1"/>
  <c r="F212" i="1" s="1"/>
  <c r="AT18" i="1"/>
  <c r="F201" i="1"/>
  <c r="F213" i="1" l="1"/>
  <c r="F214" i="1" s="1"/>
</calcChain>
</file>

<file path=xl/sharedStrings.xml><?xml version="1.0" encoding="utf-8"?>
<sst xmlns="http://schemas.openxmlformats.org/spreadsheetml/2006/main" count="2248" uniqueCount="330">
  <si>
    <t>Smeta.RU  (495) 974-1589</t>
  </si>
  <si>
    <t>_PS_</t>
  </si>
  <si>
    <t>Smeta.RU</t>
  </si>
  <si>
    <t/>
  </si>
  <si>
    <t>ТП-533. Реконструкция. Замена 3 панелей РУ-0,4 кВ. Корректировка 19.08.21.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</si>
  <si>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</si>
  <si>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</si>
  <si>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</si>
  <si>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</si>
  <si>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</si>
  <si>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</si>
  <si>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</si>
  <si>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</si>
  <si>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</si>
  <si>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</si>
  <si>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</si>
  <si>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</si>
  <si>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</si>
  <si>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</si>
  <si>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</si>
  <si>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Реконструкция. Замена 3 панелей РУ-0,4 кВ.</t>
  </si>
  <si>
    <t>Новый раздел</t>
  </si>
  <si>
    <t>Электромонтажные работы.</t>
  </si>
  <si>
    <t>1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</si>
  <si>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</si>
  <si>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</si>
  <si>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</si>
  <si>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</si>
  <si>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)*1,2</t>
  </si>
  <si>
    <t>Монтаж оборудования</t>
  </si>
  <si>
    <t>ТСН-2001.4-8. 8-28...8-72</t>
  </si>
  <si>
    <t>ТСН-2001.4-8-2</t>
  </si>
  <si>
    <t>Поправка: ТСН-2001.4. О.П. тб1. п.1</t>
  </si>
  <si>
    <t>2</t>
  </si>
  <si>
    <t>4.8-239-7</t>
  </si>
  <si>
    <t>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</si>
  <si>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шт.</t>
  </si>
  <si>
    <t>ТСН-2001.4. База. Сб.8, т.239, поз.7</t>
  </si>
  <si>
    <t>ТСН-2001.4-8. 8-188...8-272</t>
  </si>
  <si>
    <t>ТСН-2001.4-8-18</t>
  </si>
  <si>
    <t>3</t>
  </si>
  <si>
    <t>ДЕМОНТАЖ - 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</si>
  <si>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)*0</t>
  </si>
  <si>
    <t>)*0,5)*1,2</t>
  </si>
  <si>
    <t>Поправка: ТСН-2001.4. О.П. п.6.1.1.1  Поправка: ТСН-2001.4. О.П. тб1. п.1</t>
  </si>
  <si>
    <t>4</t>
  </si>
  <si>
    <t>4.8-78-1</t>
  </si>
  <si>
    <t>КАБЕЛИ ДО 35 КВ, ПРОКЛАДЫВАЕМЫЕ С КРЕПЛЕНИЕМ НАКЛАДНЫМИ СКОБАМИ, КАБЕЛЬ, МАССА 1 М: ДО 0,5 КГ (Контрольные)</t>
  </si>
  <si>
    <t>100 м</t>
  </si>
  <si>
    <t>ТСН-2001.4. База. Сб.8, т.78, поз.1</t>
  </si>
  <si>
    <t>ТСН-2001.4-8. 8-73...8-80</t>
  </si>
  <si>
    <t>ТСН-2001.4-8-3</t>
  </si>
  <si>
    <t>5</t>
  </si>
  <si>
    <t>4.8-79-3</t>
  </si>
  <si>
    <t>КАБЕЛИ ДО 35 КВ, ПРОКЛАДЫВАЕМЫЕ ПО УСТАНОВЛЕННЫМ КОНСТРУКЦИЯМ И ЛОТКАМ, КАБЕЛЬ С КРЕПЛЕНИЕМ НА ПОВОРОТАХ И В КОНЦЕ ТРАССЫ, МАССА 1 М: ДО 3 КГ</t>
  </si>
  <si>
    <t>ТСН-2001.4. База. Сб.8, т.79, поз.3</t>
  </si>
  <si>
    <t>6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</si>
  <si>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3 КГ</t>
  </si>
  <si>
    <t>)*1,2)*0,3</t>
  </si>
  <si>
    <t>Поправка: ТСН-2001.4. О.П. тб1. п.1  Поправка: ТСН-2001.4. О.П. п.6.1.1.3</t>
  </si>
  <si>
    <t>7</t>
  </si>
  <si>
    <t>4.8-316-1</t>
  </si>
  <si>
    <t>МУФТЫ КОНЦЕВЫЕ ТЕРМОУСАЖИВАЕМЫЕ ДЛЯ 5-ТИ ЖИЛЬНОГО КАБЕЛЯ С ПЛАСТМАССОВОЙ, РЕЗИНОВОЙ И БУМАЖНОЙ ИЗОЛЯЦИЕЙ, НАПРЯЖЕНИЕМ ДО 1 КВ, СЕЧЕНИЕ ОДНОЙ ЖИЛЫ ОТ 70 ДО 120 ММ2</t>
  </si>
  <si>
    <t>ТСН-2001.4. Доп.55. Сб.8, т.316, поз.1</t>
  </si>
  <si>
    <t>ТСН-2001.4-8. 8-291...292 (доп. 24)</t>
  </si>
  <si>
    <t>ТСН-2001.4-8-29</t>
  </si>
  <si>
    <t>8</t>
  </si>
  <si>
    <t>4.8-47-2</t>
  </si>
  <si>
    <t>ШИНЫ СБОРНЫЕ - ОДНА ПОЛОСА В ФАЗЕ, ШИНА, СЕЧЕНИЕ: ДО 500 ММ2</t>
  </si>
  <si>
    <t>ТСН-2001.4. База. Сб.8, т.47, поз.2</t>
  </si>
  <si>
    <t>9</t>
  </si>
  <si>
    <t>4.8-241-6</t>
  </si>
  <si>
    <t>РАЗВОДКА ПО УСТРОЙСТВАМ И ПОДКЛЮЧЕНИЕ ЖИЛ КАБЕЛЕЙ ИЛИ ПРОВОДОВ ВНЕШНЕЙ СЕТИ К БЛОКАМ ЗАЖИМОВ И К ЗАЖИМАМ АППАРАТОВ И ПРИБОРОВ, УСТАНОВЛЕННЫХ НА УСТРОЙСТВАХ, КАБЕЛИ И ПРОВОДА СЕЧЕНИЕ ДО 120 ММ2</t>
  </si>
  <si>
    <t>100 жил</t>
  </si>
  <si>
    <t>ТСН-2001.4. База. Сб.8, т.241, поз.6</t>
  </si>
  <si>
    <t>10</t>
  </si>
  <si>
    <t>4.8-76-1</t>
  </si>
  <si>
    <t>ПРИСОЕДИНЕНИЕ К ЗАЖИМАМ ЖИЛ ПРОВОДОВ ИЛИ КАБЕЛЕЙ, ПРОВОД ИЛИ КАБЕЛЬ, СЕЧЕНИЕ: ДО 2,5 ММ2</t>
  </si>
  <si>
    <t>100 шт.</t>
  </si>
  <si>
    <t>ТСН-2001.4. База. Сб.8, т.76, поз.1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</si>
  <si>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</si>
  <si>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</si>
  <si>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</si>
  <si>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</si>
  <si>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</si>
  <si>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</si>
  <si>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</si>
  <si>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</si>
  <si>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</si>
  <si>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</si>
  <si>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</si>
  <si>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</si>
  <si>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</si>
  <si>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</si>
  <si>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</si>
  <si>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</si>
  <si>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</si>
  <si>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</si>
  <si>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</si>
  <si>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</si>
  <si>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</si>
  <si>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</si>
  <si>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</si>
  <si>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</si>
  <si>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</si>
  <si>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</si>
  <si>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</si>
  <si>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</si>
  <si>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</si>
  <si>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</si>
  <si>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</si>
  <si>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</si>
  <si>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</si>
  <si>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</si>
  <si>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</si>
  <si>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</si>
  <si>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</si>
  <si>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</si>
  <si>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</si>
  <si>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</si>
  <si>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</si>
  <si>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</si>
  <si>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</si>
  <si>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</si>
  <si>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</si>
  <si>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</si>
  <si>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</si>
  <si>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</si>
  <si>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</si>
  <si>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</si>
  <si>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</si>
  <si>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</si>
  <si>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</si>
  <si>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</si>
  <si>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Пусконаладочные работы.</t>
  </si>
  <si>
    <t>11</t>
  </si>
  <si>
    <t>5.1-23-1</t>
  </si>
  <si>
    <t>РАЗЪЕДИНИТЕЛЬ ТРЕХПОЛЮСНЫЙ НАПРЯЖЕНИЕМ КВ, ДО: 20</t>
  </si>
  <si>
    <t>ТСН-2001.5. База. Сб.1, т.23, поз.1</t>
  </si>
  <si>
    <t>)*1,3)*0,8</t>
  </si>
  <si>
    <t>Пусконаладочные работы</t>
  </si>
  <si>
    <t>ТСН-2001.5-1. 1-1...1-189</t>
  </si>
  <si>
    <t>ТСН-2001.5-1-1</t>
  </si>
  <si>
    <t>Поправка: ТСН-2001.5. р2. тб1. п. 5  Поправка: ТСН-2001.5. р2. п.2.5</t>
  </si>
  <si>
    <t>12</t>
  </si>
  <si>
    <t>5.1-20-7</t>
  </si>
  <si>
    <t>ВЫКЛЮЧАТЕЛЬ ТРЕХПОЛЮСНЫЙ: С ЭЛЕКТРОМАГНИТНЫМ, ТЕПЛОВЫМ ИЛИ КОМБИНИРОВАННЫМ РАСЦЕПИТЕЛЕМ, НОМИНАЛЬНЫЙ ТОК А, ДО 1000</t>
  </si>
  <si>
    <t>ТСН-2001.5. База. Сб.1, т.20, поз.7</t>
  </si>
  <si>
    <t>13</t>
  </si>
  <si>
    <t>5.1-168-1</t>
  </si>
  <si>
    <t>ШИНЫ НАПРЯЖЕНИЕМ ДО 11 КВ</t>
  </si>
  <si>
    <t>испытание</t>
  </si>
  <si>
    <t>ТСН-2001.5. База. Сб.1, т.168, поз.1</t>
  </si>
  <si>
    <t>14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</si>
  <si>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</si>
  <si>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</si>
  <si>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</si>
  <si>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</si>
  <si>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15</t>
  </si>
  <si>
    <t>5.1-154-1</t>
  </si>
  <si>
    <t>ЗАМЕР ПОЛНОГО СОПРОТИВЛЕНИЯ ЦЕПИ "ФАЗА-НУЛЬ"</t>
  </si>
  <si>
    <t>токоприемник</t>
  </si>
  <si>
    <t>ТСН-2001.5. База. Сб.1, т.154, поз.1</t>
  </si>
  <si>
    <t>16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</si>
  <si>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</si>
  <si>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</si>
  <si>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</si>
  <si>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</si>
  <si>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17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</si>
  <si>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</si>
  <si>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</si>
  <si>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измерение</t>
  </si>
  <si>
    <t>ТСН-2001.5. База. Сб.1, т.162, поз.1</t>
  </si>
  <si>
    <t>18</t>
  </si>
  <si>
    <t>5.1-162-2</t>
  </si>
  <si>
    <t>ИЗМЕРЕНИЕ СОПРОТИВЛЕНИЯ ИЗОЛЯЦИИ МЕГАОММЕТРОМ ОБМОТОК МАШИН И АППАРАТОВ</t>
  </si>
  <si>
    <t>ТСН-2001.5. База. Сб.1, т.162, поз.2</t>
  </si>
  <si>
    <t>19</t>
  </si>
  <si>
    <t>5.1-156-5</t>
  </si>
  <si>
    <t>ИЗМЕРЕНИЕ АКТИВНОГО, ИНДУКТИВНОГО СОПРОТИВЛЕНИЯ И ЕМКОСТИ ЭЛЕКТРИЧЕСКИХ МАШИН И АППАРАТОВ</t>
  </si>
  <si>
    <t>ТСН-2001.5. База. Сб.1, т.156, поз.5</t>
  </si>
  <si>
    <t>Материалы, не учтенные ценником и оборудование.</t>
  </si>
  <si>
    <t>20</t>
  </si>
  <si>
    <t>1.23-1-4</t>
  </si>
  <si>
    <t>КАБЕЛИ КОНТРОЛЬНЫЕ С АЛЮМИНИЕВЫМИ ЖИЛАМИ С ПОЛИВИНИЛХЛОРИДНОЙ ИЗОЛЯЦИЕЙ, МАРКА АКВББШВ, ЧИСЛО ЖИЛ И СЕЧЕНИЕ 10Х2,5 ММ2</t>
  </si>
  <si>
    <t>км</t>
  </si>
  <si>
    <t>ТСН-2001.1. База. Р.23, о.1, поз.4</t>
  </si>
  <si>
    <t>Материалы монтажные</t>
  </si>
  <si>
    <t>ТСН-2001.1 Материалы монтажные</t>
  </si>
  <si>
    <t>ТСН-2001.1-2</t>
  </si>
  <si>
    <t>21</t>
  </si>
  <si>
    <t>1.23-7-217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</si>
  <si>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4Х120 ММ2</t>
  </si>
  <si>
    <t>ТСН-2001.1. База. Р.23, о.7, поз.217</t>
  </si>
  <si>
    <t>22</t>
  </si>
  <si>
    <t>1.21-5-281</t>
  </si>
  <si>
    <t>МУФТЫ КОНЦЕВЫЕ ТЕРМОУСАЖИВАЕМЫЕ ВНУТРЕННЕЙ УСТАНОВКИ ДЛЯ СИЛОВЫХ КАБЕЛЕЙ НА НАПРЯЖЕНИЕ 1 КВ, БЕЗ НАКОНЕЧНИКОВ, ТИП 4КВТП-1-120, СЕЧЕНИЕ ЖИЛ 70-120 ММ2</t>
  </si>
  <si>
    <t>компл.</t>
  </si>
  <si>
    <t>ТСН-2001.1. База. Р.21, о.5, поз.281</t>
  </si>
  <si>
    <t>23</t>
  </si>
  <si>
    <t>1.23-16-1</t>
  </si>
  <si>
    <t>ШИНЫ АЛЮМИНИЕВЫЕ ПРЯМОУГОЛЬНОГО СЕЧЕНИЯ</t>
  </si>
  <si>
    <t>ТСН-2001.1. База. Р.23, о.16, поз.1</t>
  </si>
  <si>
    <t>24</t>
  </si>
  <si>
    <t>Накладная №12 от 18.07.2019.</t>
  </si>
  <si>
    <t>Панели ЩО-70 (3 панели)</t>
  </si>
  <si>
    <t>КОМПЛЕКТ</t>
  </si>
  <si>
    <t>Прочие работы</t>
  </si>
  <si>
    <t>МЦЦС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</si>
  <si>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</si>
  <si>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</si>
  <si>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</si>
  <si>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</si>
  <si>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</si>
  <si>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</si>
  <si>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</si>
  <si>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</si>
  <si>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</si>
  <si>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9999990008</t>
  </si>
  <si>
    <t>ТРУДОЗАТРАТЫ РАБОЧИХ (ЭСН)</t>
  </si>
  <si>
    <t>чел.-ч.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</si>
  <si>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</si>
  <si>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</si>
  <si>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  Поправка: ТСН-2001.4. О.П. п.6.1.1.3  Наименование: Демонтаж оборудования, предназначенного в лом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</si>
  <si>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</si>
  <si>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</si>
  <si>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</si>
  <si>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</si>
  <si>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</si>
  <si>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</si>
  <si>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</si>
  <si>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</si>
  <si>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</si>
  <si>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</si>
  <si>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</si>
  <si>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</si>
  <si>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</si>
  <si>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</si>
  <si>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</si>
  <si>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</si>
  <si>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</si>
  <si>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</si>
  <si>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</si>
  <si>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</si>
  <si>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</si>
  <si>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</si>
  <si>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</si>
  <si>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</si>
  <si>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</si>
  <si>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</si>
  <si>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</si>
  <si>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</si>
  <si>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</si>
  <si>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</si>
  <si>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</si>
  <si>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</si>
  <si>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</si>
  <si>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</si>
  <si>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</si>
  <si>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</si>
  <si>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</si>
  <si>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</si>
  <si>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</si>
  <si>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</si>
  <si>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</si>
  <si>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</si>
  <si>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</si>
  <si>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</si>
  <si>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</si>
  <si>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</si>
  <si>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</si>
  <si>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</si>
  <si>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</si>
  <si>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</si>
  <si>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</si>
  <si>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</si>
  <si>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</si>
  <si>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</si>
  <si>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</si>
  <si>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</si>
  <si>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</si>
  <si>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</si>
  <si>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</si>
  <si>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</si>
  <si>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</si>
  <si>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</si>
  <si>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</si>
  <si>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</si>
  <si>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</si>
  <si>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</si>
  <si>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</si>
  <si>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</si>
  <si>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</si>
  <si>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</si>
  <si>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</si>
  <si>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</si>
  <si>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</si>
  <si>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</si>
  <si>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</si>
  <si>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</si>
  <si>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</si>
  <si>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</si>
  <si>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</si>
  <si>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</si>
  <si>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</si>
  <si>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</si>
  <si>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</si>
  <si>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</si>
  <si>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</si>
  <si>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</si>
  <si>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</si>
  <si>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</si>
  <si>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</si>
  <si>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</si>
  <si>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</si>
  <si>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</si>
  <si>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</si>
  <si>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</si>
  <si>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</si>
  <si>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</si>
  <si>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</si>
  <si>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</si>
  <si>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</si>
  <si>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</si>
  <si>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</si>
  <si>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</si>
  <si>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</si>
  <si>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</si>
  <si>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</si>
  <si>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ТП-533. Реконструкция. Замена 3 панелей РУ-0,4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</si>
</sst>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164" fontId="17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6"/>
  <sheetViews>
    <sheetView tabSelected="1" topLeftCell="A213" zoomScaleNormal="100" workbookViewId="0">
      <selection activeCell="J229" sqref="J229:K229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1.28515625" bestFit="1" customWidth="1"/>
    <col min="7" max="7" width="8.7109375" bestFit="1" customWidth="1"/>
    <col min="8" max="8" width="8.28515625" bestFit="1" customWidth="1"/>
    <col min="9" max="9" width="11.28515625" bestFit="1" customWidth="1"/>
    <col min="10" max="10" width="9.140625" bestFit="1" customWidth="1"/>
    <col min="11" max="11" width="11.28515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37" x14ac:dyDescent="0.2">
      <c r="A1" s="9" t="str">
        <f>Source!B1</f>
        <v>Smeta.RU  (495) 974-1589</v>
      </c>
    </row>
    <row r="2" spans="1:37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7" t="s">
        <v>227</v>
      </c>
      <c r="K2" s="67"/>
    </row>
    <row r="3" spans="1:37" ht="16.5" x14ac:dyDescent="0.25">
      <c r="A3" s="12"/>
      <c r="B3" s="70" t="s">
        <v>225</v>
      </c>
      <c r="C3" s="70"/>
      <c r="D3" s="70"/>
      <c r="E3" s="70"/>
      <c r="F3" s="11"/>
      <c r="G3" s="70" t="s">
        <v>226</v>
      </c>
      <c r="H3" s="70"/>
      <c r="I3" s="70"/>
      <c r="J3" s="70"/>
      <c r="K3" s="70"/>
    </row>
    <row r="4" spans="1:37" ht="14.25" x14ac:dyDescent="0.2">
      <c r="A4" s="11"/>
      <c r="B4" s="52"/>
      <c r="C4" s="52"/>
      <c r="D4" s="52"/>
      <c r="E4" s="52"/>
      <c r="F4" s="11"/>
      <c r="G4" s="52" t="s">
        <v>229</v>
      </c>
      <c r="H4" s="52"/>
      <c r="I4" s="52"/>
      <c r="J4" s="52"/>
      <c r="K4" s="52"/>
    </row>
    <row r="5" spans="1:37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37" ht="14.25" x14ac:dyDescent="0.2">
      <c r="A6" s="15"/>
      <c r="B6" s="52" t="str">
        <f>CONCATENATE("______________________ ", IF(Source!AL12&lt;&gt;"", Source!AL12, ""))</f>
        <v xml:space="preserve">______________________ </v>
      </c>
      <c r="C6" s="52"/>
      <c r="D6" s="52"/>
      <c r="E6" s="52"/>
      <c r="F6" s="11"/>
      <c r="G6" s="52" t="str">
        <f>CONCATENATE("______________________ ", IF(Source!AH12&lt;&gt;"", Source!AH12, ""))</f>
        <v>______________________ А.П. Воробьева</v>
      </c>
      <c r="H6" s="52"/>
      <c r="I6" s="52"/>
      <c r="J6" s="52"/>
      <c r="K6" s="52"/>
    </row>
    <row r="7" spans="1:37" ht="23.25" customHeight="1" x14ac:dyDescent="0.2">
      <c r="A7" s="16"/>
      <c r="B7" s="66" t="s">
        <v>228</v>
      </c>
      <c r="C7" s="66"/>
      <c r="D7" s="66"/>
      <c r="E7" s="66"/>
      <c r="F7" s="11"/>
      <c r="G7" s="66" t="s">
        <v>228</v>
      </c>
      <c r="H7" s="66"/>
      <c r="I7" s="66"/>
      <c r="J7" s="66"/>
      <c r="K7" s="66"/>
    </row>
    <row r="9" spans="1:37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37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37" ht="15.75" x14ac:dyDescent="0.25">
      <c r="A11" s="68" t="str">
        <f>CONCATENATE( "ЛОКАЛЬНАЯ СМЕТА.   ",IF(Source!F12&lt;&gt;"Новый объект", Source!F12, ""))</f>
        <v>ЛОКАЛЬНАЯ СМЕТА.   ТП-533. Реконструкция. Замена 3 панелей РУ-0,4 кВ.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AK11" s="21" t="str">
        <f>CONCATENATE( "ЛОКАЛЬНАЯ СМЕТА № ",IF(Source!F12&lt;&gt;"Новый объект", Source!F12, ""))</f>
        <v>ЛОКАЛЬНАЯ СМЕТА № ТП-533. Реконструкция. Замена 3 панелей РУ-0,4 кВ.</v>
      </c>
    </row>
    <row r="12" spans="1:37" x14ac:dyDescent="0.2">
      <c r="A12" s="62" t="s">
        <v>230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37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37" ht="18" hidden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37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37" ht="18" x14ac:dyDescent="0.25">
      <c r="A16" s="64" t="str">
        <f>IF(Source!G12&lt;&gt;"Новый объект", Source!G12, "")</f>
        <v>ТП-533. Реконструкция. Замена 3 панелей РУ-0,4 кВ.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37" x14ac:dyDescent="0.2">
      <c r="A17" s="62" t="s">
        <v>231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49" t="str">
        <f>CONCATENATE( "Основание: чертежи № ", Source!J12)</f>
        <v xml:space="preserve">Основание: чертежи № 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232</v>
      </c>
      <c r="J20" s="17" t="s">
        <v>233</v>
      </c>
      <c r="K20" s="11"/>
    </row>
    <row r="21" spans="1:37" ht="15" x14ac:dyDescent="0.25">
      <c r="A21" s="11"/>
      <c r="B21" s="11"/>
      <c r="C21" s="11"/>
      <c r="D21" s="11"/>
      <c r="E21" s="11"/>
      <c r="F21" s="52" t="s">
        <v>234</v>
      </c>
      <c r="G21" s="52"/>
      <c r="H21" s="52"/>
      <c r="I21" s="18">
        <f>SUM(O1:O226)/1000</f>
        <v>537.61566000000005</v>
      </c>
      <c r="J21" s="145">
        <f>(Source!F214/1000)</f>
        <v>876.06299999999999</v>
      </c>
      <c r="K21" s="33" t="s">
        <v>264</v>
      </c>
    </row>
    <row r="22" spans="1:37" ht="14.25" x14ac:dyDescent="0.2">
      <c r="A22" s="11"/>
      <c r="B22" s="11"/>
      <c r="C22" s="11"/>
      <c r="D22" s="11"/>
      <c r="E22" s="11"/>
      <c r="F22" s="52" t="s">
        <v>235</v>
      </c>
      <c r="G22" s="52"/>
      <c r="H22" s="52"/>
      <c r="I22" s="18">
        <f>SUM(X1:X226)/1000</f>
        <v>0</v>
      </c>
      <c r="J22" s="18">
        <f>(Source!F200)/1000</f>
        <v>0</v>
      </c>
      <c r="K22" s="11" t="s">
        <v>264</v>
      </c>
    </row>
    <row r="23" spans="1:37" ht="14.25" x14ac:dyDescent="0.2">
      <c r="A23" s="11"/>
      <c r="B23" s="11"/>
      <c r="C23" s="11"/>
      <c r="D23" s="11"/>
      <c r="E23" s="11"/>
      <c r="F23" s="52" t="s">
        <v>236</v>
      </c>
      <c r="G23" s="52"/>
      <c r="H23" s="52"/>
      <c r="I23" s="18">
        <f>SUM(Y1:Y226)/1000</f>
        <v>13.759840000000002</v>
      </c>
      <c r="J23" s="18">
        <f>(Source!F201)/1000</f>
        <v>126.20468</v>
      </c>
      <c r="K23" s="11" t="s">
        <v>264</v>
      </c>
    </row>
    <row r="24" spans="1:37" ht="14.25" x14ac:dyDescent="0.2">
      <c r="A24" s="11"/>
      <c r="B24" s="11"/>
      <c r="C24" s="11"/>
      <c r="D24" s="11"/>
      <c r="E24" s="11"/>
      <c r="F24" s="52" t="s">
        <v>237</v>
      </c>
      <c r="G24" s="52"/>
      <c r="H24" s="52"/>
      <c r="I24" s="18">
        <f>SUM(Z1:Z226)/1000</f>
        <v>0</v>
      </c>
      <c r="J24" s="18">
        <f>(Source!F192)/1000</f>
        <v>0</v>
      </c>
      <c r="K24" s="11" t="s">
        <v>264</v>
      </c>
    </row>
    <row r="25" spans="1:37" ht="14.25" x14ac:dyDescent="0.2">
      <c r="A25" s="11"/>
      <c r="B25" s="11"/>
      <c r="C25" s="11"/>
      <c r="D25" s="11"/>
      <c r="E25" s="11"/>
      <c r="F25" s="52" t="s">
        <v>207</v>
      </c>
      <c r="G25" s="52"/>
      <c r="H25" s="52"/>
      <c r="I25" s="18">
        <f>SUM(AA1:AA226)/1000</f>
        <v>523.85581999999999</v>
      </c>
      <c r="J25" s="18">
        <f>(Source!F202+Source!F203)/1000</f>
        <v>603.84781999999996</v>
      </c>
      <c r="K25" s="11" t="s">
        <v>264</v>
      </c>
    </row>
    <row r="26" spans="1:37" ht="14.25" x14ac:dyDescent="0.2">
      <c r="A26" s="11"/>
      <c r="B26" s="11"/>
      <c r="C26" s="11"/>
      <c r="D26" s="11"/>
      <c r="E26" s="11"/>
      <c r="F26" s="52" t="s">
        <v>238</v>
      </c>
      <c r="G26" s="52"/>
      <c r="H26" s="52"/>
      <c r="I26" s="18">
        <f>SUM(W1:W226)/1000</f>
        <v>3.2613600000000003</v>
      </c>
      <c r="J26" s="18">
        <f>(Source!F198+ Source!F197)/1000</f>
        <v>79.34456999999999</v>
      </c>
      <c r="K26" s="11" t="s">
        <v>264</v>
      </c>
    </row>
    <row r="27" spans="1:37" ht="14.25" hidden="1" x14ac:dyDescent="0.2">
      <c r="A27" s="11"/>
      <c r="B27" s="11"/>
      <c r="C27" s="11"/>
      <c r="D27" s="11"/>
      <c r="E27" s="11"/>
      <c r="F27" s="61" t="s">
        <v>239</v>
      </c>
      <c r="G27" s="61"/>
      <c r="H27" s="61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8" t="s">
        <v>119</v>
      </c>
      <c r="G28" s="59"/>
      <c r="H28" s="59"/>
      <c r="I28" s="18">
        <f>SUM(AE1:AE226)/1000</f>
        <v>0</v>
      </c>
      <c r="J28" s="18">
        <f>SUM(AF1:AF226)/1000</f>
        <v>0</v>
      </c>
      <c r="K28" s="11" t="s">
        <v>264</v>
      </c>
    </row>
    <row r="29" spans="1:37" ht="14.25" x14ac:dyDescent="0.2">
      <c r="A29" s="60" t="s">
        <v>251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AK29" s="22" t="s">
        <v>251</v>
      </c>
    </row>
    <row r="30" spans="1:37" ht="71.25" x14ac:dyDescent="0.2">
      <c r="A30" s="19" t="s">
        <v>240</v>
      </c>
      <c r="B30" s="19" t="s">
        <v>241</v>
      </c>
      <c r="C30" s="19" t="s">
        <v>242</v>
      </c>
      <c r="D30" s="19" t="s">
        <v>243</v>
      </c>
      <c r="E30" s="19" t="s">
        <v>244</v>
      </c>
      <c r="F30" s="19" t="s">
        <v>245</v>
      </c>
      <c r="G30" s="20" t="s">
        <v>246</v>
      </c>
      <c r="H30" s="20" t="s">
        <v>247</v>
      </c>
      <c r="I30" s="19" t="s">
        <v>248</v>
      </c>
      <c r="J30" s="19" t="s">
        <v>249</v>
      </c>
      <c r="K30" s="19" t="s">
        <v>250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7" t="str">
        <f>CONCATENATE("Локальная смета: ",IF(Source!G20&lt;&gt;"Новая локальная смета", Source!G20, ""))</f>
        <v>Локальная смета: Реконструкция. Замена 3 панелей РУ-0,4 кВ.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5" spans="1:27" ht="16.5" x14ac:dyDescent="0.25">
      <c r="A35" s="57" t="str">
        <f>CONCATENATE("Раздел: ",IF(Source!G24&lt;&gt;"Новый раздел", Source!G24, ""))</f>
        <v>Раздел: Электромонтажные работы.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27" ht="42.75" x14ac:dyDescent="0.2">
      <c r="A36" s="23" t="str">
        <f>Source!E28</f>
        <v>1</v>
      </c>
      <c r="B36" s="24" t="str">
        <f>Source!F28</f>
        <v>4.8-64-3</v>
      </c>
      <c r="C36" s="24" t="s">
        <v>25</v>
      </c>
      <c r="D36" s="25" t="str">
        <f>Source!H28</f>
        <v>т</v>
      </c>
      <c r="E36" s="10">
        <f>Source!I28</f>
        <v>0.11700000000000001</v>
      </c>
      <c r="F36" s="27"/>
      <c r="G36" s="26"/>
      <c r="H36" s="10"/>
      <c r="I36" s="28"/>
      <c r="J36" s="10"/>
      <c r="K36" s="28"/>
      <c r="Q36">
        <f>ROUND((Source!DN28/100)*ROUND((ROUND((Source!AF28*Source!AV28*Source!I28),2)),2), 2)</f>
        <v>113.35</v>
      </c>
      <c r="R36">
        <f>Source!X28</f>
        <v>1900.24</v>
      </c>
      <c r="S36">
        <f>ROUND((Source!DO28/100)*ROUND((ROUND((Source!AF28*Source!AV28*Source!I28),2)),2), 2)</f>
        <v>66.62</v>
      </c>
      <c r="T36">
        <f>Source!Y28</f>
        <v>1011.82</v>
      </c>
      <c r="U36">
        <f>ROUND((175/100)*ROUND((ROUND((Source!AE28*Source!AV28*Source!I28),2)),2), 2)</f>
        <v>17.100000000000001</v>
      </c>
      <c r="V36">
        <f>ROUND((157/100)*ROUND(ROUND((ROUND((Source!AE28*Source!AV28*Source!I28),2)*Source!BS28),2), 2), 2)</f>
        <v>380.71</v>
      </c>
    </row>
    <row r="37" spans="1:27" ht="14.25" x14ac:dyDescent="0.2">
      <c r="A37" s="23"/>
      <c r="B37" s="24"/>
      <c r="C37" s="24" t="s">
        <v>252</v>
      </c>
      <c r="D37" s="25"/>
      <c r="E37" s="10"/>
      <c r="F37" s="27">
        <f>Source!AO28</f>
        <v>676.43</v>
      </c>
      <c r="G37" s="26" t="str">
        <f>Source!DG28</f>
        <v>)*1,2</v>
      </c>
      <c r="H37" s="10">
        <f>Source!AV28</f>
        <v>1.0469999999999999</v>
      </c>
      <c r="I37" s="28">
        <f>ROUND((ROUND((Source!AF28*Source!AV28*Source!I28),2)),2)</f>
        <v>99.43</v>
      </c>
      <c r="J37" s="10">
        <f>IF(Source!BA28&lt;&gt; 0, Source!BA28, 1)</f>
        <v>24.82</v>
      </c>
      <c r="K37" s="28">
        <f>Source!S28</f>
        <v>2467.85</v>
      </c>
      <c r="W37">
        <f>I37</f>
        <v>99.43</v>
      </c>
    </row>
    <row r="38" spans="1:27" ht="14.25" x14ac:dyDescent="0.2">
      <c r="A38" s="23"/>
      <c r="B38" s="24"/>
      <c r="C38" s="24" t="s">
        <v>253</v>
      </c>
      <c r="D38" s="25"/>
      <c r="E38" s="10"/>
      <c r="F38" s="27">
        <f>Source!AM28</f>
        <v>702.69</v>
      </c>
      <c r="G38" s="26" t="str">
        <f>Source!DE28</f>
        <v>)*1,2</v>
      </c>
      <c r="H38" s="10">
        <f>Source!AV28</f>
        <v>1.0469999999999999</v>
      </c>
      <c r="I38" s="28">
        <f>(ROUND((ROUND((((Source!ET28*1.2))*Source!AV28*Source!I28),2)),2)+ROUND((ROUND(((Source!AE28-((Source!EU28*1.2)))*Source!AV28*Source!I28),2)),2))</f>
        <v>103.29</v>
      </c>
      <c r="J38" s="10">
        <f>IF(Source!BB28&lt;&gt; 0, Source!BB28, 1)</f>
        <v>8.2100000000000009</v>
      </c>
      <c r="K38" s="28">
        <f>Source!Q28</f>
        <v>848.01</v>
      </c>
    </row>
    <row r="39" spans="1:27" ht="14.25" x14ac:dyDescent="0.2">
      <c r="A39" s="23"/>
      <c r="B39" s="24"/>
      <c r="C39" s="24" t="s">
        <v>254</v>
      </c>
      <c r="D39" s="25"/>
      <c r="E39" s="10"/>
      <c r="F39" s="27">
        <f>Source!AN28</f>
        <v>66.48</v>
      </c>
      <c r="G39" s="26" t="str">
        <f>Source!DF28</f>
        <v>)*1,2</v>
      </c>
      <c r="H39" s="10">
        <f>Source!AV28</f>
        <v>1.0469999999999999</v>
      </c>
      <c r="I39" s="29">
        <f>ROUND((ROUND((Source!AE28*Source!AV28*Source!I28),2)),2)</f>
        <v>9.77</v>
      </c>
      <c r="J39" s="10">
        <f>IF(Source!BS28&lt;&gt; 0, Source!BS28, 1)</f>
        <v>24.82</v>
      </c>
      <c r="K39" s="29">
        <f>Source!R28</f>
        <v>242.49</v>
      </c>
      <c r="W39">
        <f>I39</f>
        <v>9.77</v>
      </c>
    </row>
    <row r="40" spans="1:27" ht="14.25" x14ac:dyDescent="0.2">
      <c r="A40" s="23"/>
      <c r="B40" s="24"/>
      <c r="C40" s="24" t="s">
        <v>255</v>
      </c>
      <c r="D40" s="25"/>
      <c r="E40" s="10"/>
      <c r="F40" s="27">
        <f>Source!AL28</f>
        <v>5453</v>
      </c>
      <c r="G40" s="26" t="str">
        <f>Source!DD28</f>
        <v/>
      </c>
      <c r="H40" s="10">
        <f>Source!AW28</f>
        <v>1</v>
      </c>
      <c r="I40" s="28">
        <f>ROUND((ROUND((Source!AC28*Source!AW28*Source!I28),2)),2)</f>
        <v>638</v>
      </c>
      <c r="J40" s="10">
        <f>IF(Source!BC28&lt;&gt; 0, Source!BC28, 1)</f>
        <v>5.29</v>
      </c>
      <c r="K40" s="28">
        <f>Source!P28</f>
        <v>3375.02</v>
      </c>
    </row>
    <row r="41" spans="1:27" ht="14.25" x14ac:dyDescent="0.2">
      <c r="A41" s="23"/>
      <c r="B41" s="24"/>
      <c r="C41" s="24" t="s">
        <v>256</v>
      </c>
      <c r="D41" s="25" t="s">
        <v>257</v>
      </c>
      <c r="E41" s="10">
        <f>Source!DN28</f>
        <v>114</v>
      </c>
      <c r="F41" s="27"/>
      <c r="G41" s="26"/>
      <c r="H41" s="10"/>
      <c r="I41" s="28">
        <f>SUM(Q36:Q40)</f>
        <v>113.35</v>
      </c>
      <c r="J41" s="10">
        <f>Source!BZ28</f>
        <v>77</v>
      </c>
      <c r="K41" s="28">
        <f>SUM(R36:R40)</f>
        <v>1900.24</v>
      </c>
    </row>
    <row r="42" spans="1:27" ht="14.25" x14ac:dyDescent="0.2">
      <c r="A42" s="23"/>
      <c r="B42" s="24"/>
      <c r="C42" s="24" t="s">
        <v>258</v>
      </c>
      <c r="D42" s="25" t="s">
        <v>257</v>
      </c>
      <c r="E42" s="10">
        <f>Source!DO28</f>
        <v>67</v>
      </c>
      <c r="F42" s="27"/>
      <c r="G42" s="26"/>
      <c r="H42" s="10"/>
      <c r="I42" s="28">
        <f>SUM(S36:S41)</f>
        <v>66.62</v>
      </c>
      <c r="J42" s="10">
        <f>Source!CA28</f>
        <v>41</v>
      </c>
      <c r="K42" s="28">
        <f>SUM(T36:T41)</f>
        <v>1011.82</v>
      </c>
    </row>
    <row r="43" spans="1:27" ht="14.25" x14ac:dyDescent="0.2">
      <c r="A43" s="23"/>
      <c r="B43" s="24"/>
      <c r="C43" s="24" t="s">
        <v>259</v>
      </c>
      <c r="D43" s="25" t="s">
        <v>257</v>
      </c>
      <c r="E43" s="10">
        <f>175</f>
        <v>175</v>
      </c>
      <c r="F43" s="27"/>
      <c r="G43" s="26"/>
      <c r="H43" s="10"/>
      <c r="I43" s="28">
        <f>SUM(U36:U42)</f>
        <v>17.100000000000001</v>
      </c>
      <c r="J43" s="10">
        <f>157</f>
        <v>157</v>
      </c>
      <c r="K43" s="28">
        <f>SUM(V36:V42)</f>
        <v>380.71</v>
      </c>
    </row>
    <row r="44" spans="1:27" ht="14.25" x14ac:dyDescent="0.2">
      <c r="A44" s="23"/>
      <c r="B44" s="24"/>
      <c r="C44" s="24" t="s">
        <v>260</v>
      </c>
      <c r="D44" s="25" t="s">
        <v>261</v>
      </c>
      <c r="E44" s="10">
        <f>Source!AQ28</f>
        <v>53.6</v>
      </c>
      <c r="F44" s="27"/>
      <c r="G44" s="26" t="str">
        <f>Source!DI28</f>
        <v>)*1,2</v>
      </c>
      <c r="H44" s="10">
        <f>Source!AV28</f>
        <v>1.0469999999999999</v>
      </c>
      <c r="I44" s="28">
        <f>Source!U28</f>
        <v>7.8791356799999992</v>
      </c>
      <c r="J44" s="10"/>
      <c r="K44" s="28"/>
    </row>
    <row r="45" spans="1:27" ht="15" x14ac:dyDescent="0.25">
      <c r="A45" s="31"/>
      <c r="B45" s="31"/>
      <c r="C45" s="31"/>
      <c r="D45" s="31"/>
      <c r="E45" s="31"/>
      <c r="F45" s="31"/>
      <c r="G45" s="31"/>
      <c r="H45" s="56">
        <f>I37+I38+I40+I41+I42+I43</f>
        <v>1037.79</v>
      </c>
      <c r="I45" s="56"/>
      <c r="J45" s="56">
        <f>K37+K38+K40+K41+K42+K43</f>
        <v>9983.6499999999978</v>
      </c>
      <c r="K45" s="56"/>
      <c r="O45" s="30">
        <f>I37+I38+I40+I41+I42+I43</f>
        <v>1037.79</v>
      </c>
      <c r="P45" s="30">
        <f>K37+K38+K40+K41+K42+K43</f>
        <v>9983.6499999999978</v>
      </c>
      <c r="X45">
        <f>IF(Source!BI28&lt;=1,I37+I38+I40+I41+I42+I43-0, 0)</f>
        <v>0</v>
      </c>
      <c r="Y45">
        <f>IF(Source!BI28=2,I37+I38+I40+I41+I42+I43-0, 0)</f>
        <v>1037.79</v>
      </c>
      <c r="Z45">
        <f>IF(Source!BI28=3,I37+I38+I40+I41+I42+I43-0, 0)</f>
        <v>0</v>
      </c>
      <c r="AA45">
        <f>IF(Source!BI28=4,I37+I38+I40+I41+I42+I43,0)</f>
        <v>0</v>
      </c>
    </row>
    <row r="46" spans="1:27" ht="128.25" x14ac:dyDescent="0.2">
      <c r="A46" s="23" t="str">
        <f>Source!E29</f>
        <v>2</v>
      </c>
      <c r="B46" s="24" t="str">
        <f>Source!F29</f>
        <v>4.8-239-7</v>
      </c>
      <c r="C46" s="24" t="s">
        <v>35</v>
      </c>
      <c r="D46" s="25" t="str">
        <f>Source!H29</f>
        <v>шт.</v>
      </c>
      <c r="E46" s="10">
        <f>Source!I29</f>
        <v>3</v>
      </c>
      <c r="F46" s="27"/>
      <c r="G46" s="26"/>
      <c r="H46" s="10"/>
      <c r="I46" s="28"/>
      <c r="J46" s="10"/>
      <c r="K46" s="28"/>
      <c r="Q46">
        <f>ROUND((Source!DN29/100)*ROUND((ROUND((Source!AF29*Source!AV29*Source!I29),2)),2), 2)</f>
        <v>230.14</v>
      </c>
      <c r="R46">
        <f>Source!X29</f>
        <v>3858.21</v>
      </c>
      <c r="S46">
        <f>ROUND((Source!DO29/100)*ROUND((ROUND((Source!AF29*Source!AV29*Source!I29),2)),2), 2)</f>
        <v>135.26</v>
      </c>
      <c r="T46">
        <f>Source!Y29</f>
        <v>2054.37</v>
      </c>
      <c r="U46">
        <f>ROUND((175/100)*ROUND((ROUND((Source!AE29*Source!AV29*Source!I29),2)),2), 2)</f>
        <v>63.91</v>
      </c>
      <c r="V46">
        <f>ROUND((157/100)*ROUND(ROUND((ROUND((Source!AE29*Source!AV29*Source!I29),2)*Source!BS29),2), 2), 2)</f>
        <v>1423.1</v>
      </c>
    </row>
    <row r="47" spans="1:27" ht="14.25" x14ac:dyDescent="0.2">
      <c r="A47" s="23"/>
      <c r="B47" s="24"/>
      <c r="C47" s="24" t="s">
        <v>252</v>
      </c>
      <c r="D47" s="25"/>
      <c r="E47" s="10"/>
      <c r="F47" s="27">
        <f>Source!AO29</f>
        <v>53.56</v>
      </c>
      <c r="G47" s="26" t="str">
        <f>Source!DG29</f>
        <v>)*1,2</v>
      </c>
      <c r="H47" s="10">
        <f>Source!AV29</f>
        <v>1.0469999999999999</v>
      </c>
      <c r="I47" s="28">
        <f>ROUND((ROUND((Source!AF29*Source!AV29*Source!I29),2)),2)</f>
        <v>201.88</v>
      </c>
      <c r="J47" s="10">
        <f>IF(Source!BA29&lt;&gt; 0, Source!BA29, 1)</f>
        <v>24.82</v>
      </c>
      <c r="K47" s="28">
        <f>Source!S29</f>
        <v>5010.66</v>
      </c>
      <c r="W47">
        <f>I47</f>
        <v>201.88</v>
      </c>
    </row>
    <row r="48" spans="1:27" ht="14.25" x14ac:dyDescent="0.2">
      <c r="A48" s="23"/>
      <c r="B48" s="24"/>
      <c r="C48" s="24" t="s">
        <v>253</v>
      </c>
      <c r="D48" s="25"/>
      <c r="E48" s="10"/>
      <c r="F48" s="27">
        <f>Source!AM29</f>
        <v>70.38</v>
      </c>
      <c r="G48" s="26" t="str">
        <f>Source!DE29</f>
        <v>)*1,2</v>
      </c>
      <c r="H48" s="10">
        <f>Source!AV29</f>
        <v>1.0469999999999999</v>
      </c>
      <c r="I48" s="28">
        <f>(ROUND((ROUND((((Source!ET29*1.2))*Source!AV29*Source!I29),2)),2)+ROUND((ROUND(((Source!AE29-((Source!EU29*1.2)))*Source!AV29*Source!I29),2)),2))</f>
        <v>265.27999999999997</v>
      </c>
      <c r="J48" s="10">
        <f>IF(Source!BB29&lt;&gt; 0, Source!BB29, 1)</f>
        <v>8.44</v>
      </c>
      <c r="K48" s="28">
        <f>Source!Q29</f>
        <v>2238.96</v>
      </c>
    </row>
    <row r="49" spans="1:27" ht="14.25" x14ac:dyDescent="0.2">
      <c r="A49" s="23"/>
      <c r="B49" s="24"/>
      <c r="C49" s="24" t="s">
        <v>254</v>
      </c>
      <c r="D49" s="25"/>
      <c r="E49" s="10"/>
      <c r="F49" s="27">
        <f>Source!AN29</f>
        <v>9.69</v>
      </c>
      <c r="G49" s="26" t="str">
        <f>Source!DF29</f>
        <v>)*1,2</v>
      </c>
      <c r="H49" s="10">
        <f>Source!AV29</f>
        <v>1.0469999999999999</v>
      </c>
      <c r="I49" s="29">
        <f>ROUND((ROUND((Source!AE29*Source!AV29*Source!I29),2)),2)</f>
        <v>36.520000000000003</v>
      </c>
      <c r="J49" s="10">
        <f>IF(Source!BS29&lt;&gt; 0, Source!BS29, 1)</f>
        <v>24.82</v>
      </c>
      <c r="K49" s="29">
        <f>Source!R29</f>
        <v>906.43</v>
      </c>
      <c r="W49">
        <f>I49</f>
        <v>36.520000000000003</v>
      </c>
    </row>
    <row r="50" spans="1:27" ht="14.25" x14ac:dyDescent="0.2">
      <c r="A50" s="23"/>
      <c r="B50" s="24"/>
      <c r="C50" s="24" t="s">
        <v>255</v>
      </c>
      <c r="D50" s="25"/>
      <c r="E50" s="10"/>
      <c r="F50" s="27">
        <f>Source!AL29</f>
        <v>153.30000000000001</v>
      </c>
      <c r="G50" s="26" t="str">
        <f>Source!DD29</f>
        <v/>
      </c>
      <c r="H50" s="10">
        <f>Source!AW29</f>
        <v>1</v>
      </c>
      <c r="I50" s="28">
        <f>ROUND((ROUND((Source!AC29*Source!AW29*Source!I29),2)),2)</f>
        <v>459.9</v>
      </c>
      <c r="J50" s="10">
        <f>IF(Source!BC29&lt;&gt; 0, Source!BC29, 1)</f>
        <v>5.29</v>
      </c>
      <c r="K50" s="28">
        <f>Source!P29</f>
        <v>2432.87</v>
      </c>
    </row>
    <row r="51" spans="1:27" ht="14.25" x14ac:dyDescent="0.2">
      <c r="A51" s="23"/>
      <c r="B51" s="24"/>
      <c r="C51" s="24" t="s">
        <v>256</v>
      </c>
      <c r="D51" s="25" t="s">
        <v>257</v>
      </c>
      <c r="E51" s="10">
        <f>Source!DN29</f>
        <v>114</v>
      </c>
      <c r="F51" s="27"/>
      <c r="G51" s="26"/>
      <c r="H51" s="10"/>
      <c r="I51" s="28">
        <f>SUM(Q46:Q50)</f>
        <v>230.14</v>
      </c>
      <c r="J51" s="10">
        <f>Source!BZ29</f>
        <v>77</v>
      </c>
      <c r="K51" s="28">
        <f>SUM(R46:R50)</f>
        <v>3858.21</v>
      </c>
    </row>
    <row r="52" spans="1:27" ht="14.25" x14ac:dyDescent="0.2">
      <c r="A52" s="23"/>
      <c r="B52" s="24"/>
      <c r="C52" s="24" t="s">
        <v>258</v>
      </c>
      <c r="D52" s="25" t="s">
        <v>257</v>
      </c>
      <c r="E52" s="10">
        <f>Source!DO29</f>
        <v>67</v>
      </c>
      <c r="F52" s="27"/>
      <c r="G52" s="26"/>
      <c r="H52" s="10"/>
      <c r="I52" s="28">
        <f>SUM(S46:S51)</f>
        <v>135.26</v>
      </c>
      <c r="J52" s="10">
        <f>Source!CA29</f>
        <v>41</v>
      </c>
      <c r="K52" s="28">
        <f>SUM(T46:T51)</f>
        <v>2054.37</v>
      </c>
    </row>
    <row r="53" spans="1:27" ht="14.25" x14ac:dyDescent="0.2">
      <c r="A53" s="23"/>
      <c r="B53" s="24"/>
      <c r="C53" s="24" t="s">
        <v>259</v>
      </c>
      <c r="D53" s="25" t="s">
        <v>257</v>
      </c>
      <c r="E53" s="10">
        <f>175</f>
        <v>175</v>
      </c>
      <c r="F53" s="27"/>
      <c r="G53" s="26"/>
      <c r="H53" s="10"/>
      <c r="I53" s="28">
        <f>SUM(U46:U52)</f>
        <v>63.91</v>
      </c>
      <c r="J53" s="10">
        <f>157</f>
        <v>157</v>
      </c>
      <c r="K53" s="28">
        <f>SUM(V46:V52)</f>
        <v>1423.1</v>
      </c>
    </row>
    <row r="54" spans="1:27" ht="14.25" x14ac:dyDescent="0.2">
      <c r="A54" s="23"/>
      <c r="B54" s="24"/>
      <c r="C54" s="24" t="s">
        <v>260</v>
      </c>
      <c r="D54" s="25" t="s">
        <v>261</v>
      </c>
      <c r="E54" s="10">
        <f>Source!AQ29</f>
        <v>4.12</v>
      </c>
      <c r="F54" s="27"/>
      <c r="G54" s="26" t="str">
        <f>Source!DI29</f>
        <v>)*1,2</v>
      </c>
      <c r="H54" s="10">
        <f>Source!AV29</f>
        <v>1.0469999999999999</v>
      </c>
      <c r="I54" s="28">
        <f>Source!U29</f>
        <v>15.529103999999997</v>
      </c>
      <c r="J54" s="10"/>
      <c r="K54" s="28"/>
    </row>
    <row r="55" spans="1:27" ht="15" x14ac:dyDescent="0.25">
      <c r="A55" s="31"/>
      <c r="B55" s="31"/>
      <c r="C55" s="31"/>
      <c r="D55" s="31"/>
      <c r="E55" s="31"/>
      <c r="F55" s="31"/>
      <c r="G55" s="31"/>
      <c r="H55" s="56">
        <f>I47+I48+I50+I51+I52+I53</f>
        <v>1356.37</v>
      </c>
      <c r="I55" s="56"/>
      <c r="J55" s="56">
        <f>K47+K48+K50+K51+K52+K53</f>
        <v>17018.169999999998</v>
      </c>
      <c r="K55" s="56"/>
      <c r="O55" s="30">
        <f>I47+I48+I50+I51+I52+I53</f>
        <v>1356.37</v>
      </c>
      <c r="P55" s="30">
        <f>K47+K48+K50+K51+K52+K53</f>
        <v>17018.169999999998</v>
      </c>
      <c r="X55">
        <f>IF(Source!BI29&lt;=1,I47+I48+I50+I51+I52+I53-0, 0)</f>
        <v>0</v>
      </c>
      <c r="Y55">
        <f>IF(Source!BI29=2,I47+I48+I50+I51+I52+I53-0, 0)</f>
        <v>1356.37</v>
      </c>
      <c r="Z55">
        <f>IF(Source!BI29=3,I47+I48+I50+I51+I52+I53-0, 0)</f>
        <v>0</v>
      </c>
      <c r="AA55">
        <f>IF(Source!BI29=4,I47+I48+I50+I51+I52+I53,0)</f>
        <v>0</v>
      </c>
    </row>
    <row r="56" spans="1:27" ht="128.25" x14ac:dyDescent="0.2">
      <c r="A56" s="23" t="str">
        <f>Source!E30</f>
        <v>3</v>
      </c>
      <c r="B56" s="24" t="str">
        <f>Source!F30</f>
        <v>4.8-239-7</v>
      </c>
      <c r="C56" s="24" t="s">
        <v>41</v>
      </c>
      <c r="D56" s="25" t="str">
        <f>Source!H30</f>
        <v>шт.</v>
      </c>
      <c r="E56" s="10">
        <f>Source!I30</f>
        <v>3</v>
      </c>
      <c r="F56" s="27"/>
      <c r="G56" s="26"/>
      <c r="H56" s="10"/>
      <c r="I56" s="28"/>
      <c r="J56" s="10"/>
      <c r="K56" s="28"/>
      <c r="Q56">
        <f>ROUND((Source!DN30/100)*ROUND((ROUND((Source!AF30*Source!AV30*Source!I30),2)),2), 2)</f>
        <v>115.07</v>
      </c>
      <c r="R56">
        <f>Source!X30</f>
        <v>1929.1</v>
      </c>
      <c r="S56">
        <f>ROUND((Source!DO30/100)*ROUND((ROUND((Source!AF30*Source!AV30*Source!I30),2)),2), 2)</f>
        <v>67.63</v>
      </c>
      <c r="T56">
        <f>Source!Y30</f>
        <v>1027.19</v>
      </c>
      <c r="U56">
        <f>ROUND((175/100)*ROUND((ROUND((Source!AE30*Source!AV30*Source!I30),2)),2), 2)</f>
        <v>31.96</v>
      </c>
      <c r="V56">
        <f>ROUND((157/100)*ROUND(ROUND((ROUND((Source!AE30*Source!AV30*Source!I30),2)*Source!BS30),2), 2), 2)</f>
        <v>711.54</v>
      </c>
    </row>
    <row r="57" spans="1:27" ht="28.5" x14ac:dyDescent="0.2">
      <c r="A57" s="23"/>
      <c r="B57" s="24"/>
      <c r="C57" s="24" t="s">
        <v>252</v>
      </c>
      <c r="D57" s="25"/>
      <c r="E57" s="10"/>
      <c r="F57" s="27">
        <f>Source!AO30</f>
        <v>53.56</v>
      </c>
      <c r="G57" s="26" t="str">
        <f>Source!DG30</f>
        <v>)*0,5)*1,2</v>
      </c>
      <c r="H57" s="10">
        <f>Source!AV30</f>
        <v>1.0469999999999999</v>
      </c>
      <c r="I57" s="28">
        <f>ROUND((ROUND((Source!AF30*Source!AV30*Source!I30),2)),2)</f>
        <v>100.94</v>
      </c>
      <c r="J57" s="10">
        <f>IF(Source!BA30&lt;&gt; 0, Source!BA30, 1)</f>
        <v>24.82</v>
      </c>
      <c r="K57" s="28">
        <f>Source!S30</f>
        <v>2505.33</v>
      </c>
      <c r="W57">
        <f>I57</f>
        <v>100.94</v>
      </c>
    </row>
    <row r="58" spans="1:27" ht="28.5" x14ac:dyDescent="0.2">
      <c r="A58" s="23"/>
      <c r="B58" s="24"/>
      <c r="C58" s="24" t="s">
        <v>253</v>
      </c>
      <c r="D58" s="25"/>
      <c r="E58" s="10"/>
      <c r="F58" s="27">
        <f>Source!AM30</f>
        <v>70.38</v>
      </c>
      <c r="G58" s="26" t="str">
        <f>Source!DE30</f>
        <v>)*0,5)*1,2</v>
      </c>
      <c r="H58" s="10">
        <f>Source!AV30</f>
        <v>1.0469999999999999</v>
      </c>
      <c r="I58" s="28">
        <f>(ROUND((ROUND(((((Source!ET30*0.5)*1.2))*Source!AV30*Source!I30),2)),2)+ROUND((ROUND(((Source!AE30-(((Source!EU30*0.5)*1.2)))*Source!AV30*Source!I30),2)),2))</f>
        <v>132.63999999999999</v>
      </c>
      <c r="J58" s="10">
        <f>IF(Source!BB30&lt;&gt; 0, Source!BB30, 1)</f>
        <v>8.44</v>
      </c>
      <c r="K58" s="28">
        <f>Source!Q30</f>
        <v>1119.48</v>
      </c>
    </row>
    <row r="59" spans="1:27" ht="28.5" x14ac:dyDescent="0.2">
      <c r="A59" s="23"/>
      <c r="B59" s="24"/>
      <c r="C59" s="24" t="s">
        <v>254</v>
      </c>
      <c r="D59" s="25"/>
      <c r="E59" s="10"/>
      <c r="F59" s="27">
        <f>Source!AN30</f>
        <v>9.69</v>
      </c>
      <c r="G59" s="26" t="str">
        <f>Source!DF30</f>
        <v>)*0,5)*1,2</v>
      </c>
      <c r="H59" s="10">
        <f>Source!AV30</f>
        <v>1.0469999999999999</v>
      </c>
      <c r="I59" s="29">
        <f>ROUND((ROUND((Source!AE30*Source!AV30*Source!I30),2)),2)</f>
        <v>18.260000000000002</v>
      </c>
      <c r="J59" s="10">
        <f>IF(Source!BS30&lt;&gt; 0, Source!BS30, 1)</f>
        <v>24.82</v>
      </c>
      <c r="K59" s="29">
        <f>Source!R30</f>
        <v>453.21</v>
      </c>
      <c r="W59">
        <f>I59</f>
        <v>18.260000000000002</v>
      </c>
    </row>
    <row r="60" spans="1:27" ht="14.25" x14ac:dyDescent="0.2">
      <c r="A60" s="23"/>
      <c r="B60" s="24"/>
      <c r="C60" s="24" t="s">
        <v>256</v>
      </c>
      <c r="D60" s="25" t="s">
        <v>257</v>
      </c>
      <c r="E60" s="10">
        <f>Source!DN30</f>
        <v>114</v>
      </c>
      <c r="F60" s="27"/>
      <c r="G60" s="26"/>
      <c r="H60" s="10"/>
      <c r="I60" s="28">
        <f>SUM(Q56:Q59)</f>
        <v>115.07</v>
      </c>
      <c r="J60" s="10">
        <f>Source!BZ30</f>
        <v>77</v>
      </c>
      <c r="K60" s="28">
        <f>SUM(R56:R59)</f>
        <v>1929.1</v>
      </c>
    </row>
    <row r="61" spans="1:27" ht="14.25" x14ac:dyDescent="0.2">
      <c r="A61" s="23"/>
      <c r="B61" s="24"/>
      <c r="C61" s="24" t="s">
        <v>258</v>
      </c>
      <c r="D61" s="25" t="s">
        <v>257</v>
      </c>
      <c r="E61" s="10">
        <f>Source!DO30</f>
        <v>67</v>
      </c>
      <c r="F61" s="27"/>
      <c r="G61" s="26"/>
      <c r="H61" s="10"/>
      <c r="I61" s="28">
        <f>SUM(S56:S60)</f>
        <v>67.63</v>
      </c>
      <c r="J61" s="10">
        <f>Source!CA30</f>
        <v>41</v>
      </c>
      <c r="K61" s="28">
        <f>SUM(T56:T60)</f>
        <v>1027.19</v>
      </c>
    </row>
    <row r="62" spans="1:27" ht="14.25" x14ac:dyDescent="0.2">
      <c r="A62" s="23"/>
      <c r="B62" s="24"/>
      <c r="C62" s="24" t="s">
        <v>259</v>
      </c>
      <c r="D62" s="25" t="s">
        <v>257</v>
      </c>
      <c r="E62" s="10">
        <f>175</f>
        <v>175</v>
      </c>
      <c r="F62" s="27"/>
      <c r="G62" s="26"/>
      <c r="H62" s="10"/>
      <c r="I62" s="28">
        <f>SUM(U56:U61)</f>
        <v>31.96</v>
      </c>
      <c r="J62" s="10">
        <f>157</f>
        <v>157</v>
      </c>
      <c r="K62" s="28">
        <f>SUM(V56:V61)</f>
        <v>711.54</v>
      </c>
    </row>
    <row r="63" spans="1:27" ht="28.5" x14ac:dyDescent="0.2">
      <c r="A63" s="23"/>
      <c r="B63" s="24"/>
      <c r="C63" s="24" t="s">
        <v>260</v>
      </c>
      <c r="D63" s="25" t="s">
        <v>261</v>
      </c>
      <c r="E63" s="10">
        <f>Source!AQ30</f>
        <v>4.12</v>
      </c>
      <c r="F63" s="27"/>
      <c r="G63" s="26" t="str">
        <f>Source!DI30</f>
        <v>)*0,5)*1,2</v>
      </c>
      <c r="H63" s="10">
        <f>Source!AV30</f>
        <v>1.0469999999999999</v>
      </c>
      <c r="I63" s="28">
        <f>Source!U30</f>
        <v>7.7645519999999983</v>
      </c>
      <c r="J63" s="10"/>
      <c r="K63" s="28"/>
    </row>
    <row r="64" spans="1:27" ht="15" x14ac:dyDescent="0.25">
      <c r="A64" s="31"/>
      <c r="B64" s="31"/>
      <c r="C64" s="31"/>
      <c r="D64" s="31"/>
      <c r="E64" s="31"/>
      <c r="F64" s="31"/>
      <c r="G64" s="31"/>
      <c r="H64" s="56">
        <f>I57+I58+I60+I61+I62</f>
        <v>448.23999999999995</v>
      </c>
      <c r="I64" s="56"/>
      <c r="J64" s="56">
        <f>K57+K58+K60+K61+K62</f>
        <v>7292.64</v>
      </c>
      <c r="K64" s="56"/>
      <c r="O64" s="30">
        <f>I57+I58+I60+I61+I62</f>
        <v>448.23999999999995</v>
      </c>
      <c r="P64" s="30">
        <f>K57+K58+K60+K61+K62</f>
        <v>7292.64</v>
      </c>
      <c r="X64">
        <f>IF(Source!BI30&lt;=1,I57+I58+I60+I61+I62-0, 0)</f>
        <v>0</v>
      </c>
      <c r="Y64">
        <f>IF(Source!BI30=2,I57+I58+I60+I61+I62-0, 0)</f>
        <v>448.23999999999995</v>
      </c>
      <c r="Z64">
        <f>IF(Source!BI30=3,I57+I58+I60+I61+I62-0, 0)</f>
        <v>0</v>
      </c>
      <c r="AA64">
        <f>IF(Source!BI30=4,I57+I58+I60+I61+I62,0)</f>
        <v>0</v>
      </c>
    </row>
    <row r="65" spans="1:27" ht="57" x14ac:dyDescent="0.2">
      <c r="A65" s="23" t="str">
        <f>Source!E31</f>
        <v>4</v>
      </c>
      <c r="B65" s="24" t="str">
        <f>Source!F31</f>
        <v>4.8-78-1</v>
      </c>
      <c r="C65" s="24" t="s">
        <v>47</v>
      </c>
      <c r="D65" s="25" t="str">
        <f>Source!H31</f>
        <v>100 м</v>
      </c>
      <c r="E65" s="10">
        <f>Source!I31</f>
        <v>0.39</v>
      </c>
      <c r="F65" s="27"/>
      <c r="G65" s="26"/>
      <c r="H65" s="10"/>
      <c r="I65" s="28"/>
      <c r="J65" s="10"/>
      <c r="K65" s="28"/>
      <c r="Q65">
        <f>ROUND((Source!DN31/100)*ROUND((ROUND((Source!AF31*Source!AV31*Source!I31),2)),2), 2)</f>
        <v>89.14</v>
      </c>
      <c r="R65">
        <f>Source!X31</f>
        <v>1494.32</v>
      </c>
      <c r="S65">
        <f>ROUND((Source!DO31/100)*ROUND((ROUND((Source!AF31*Source!AV31*Source!I31),2)),2), 2)</f>
        <v>52.39</v>
      </c>
      <c r="T65">
        <f>Source!Y31</f>
        <v>795.68</v>
      </c>
      <c r="U65">
        <f>ROUND((175/100)*ROUND((ROUND((Source!AE31*Source!AV31*Source!I31),2)),2), 2)</f>
        <v>138.47999999999999</v>
      </c>
      <c r="V65">
        <f>ROUND((157/100)*ROUND(ROUND((ROUND((Source!AE31*Source!AV31*Source!I31),2)*Source!BS31),2), 2), 2)</f>
        <v>3083.5</v>
      </c>
    </row>
    <row r="66" spans="1:27" x14ac:dyDescent="0.2">
      <c r="C66" s="32" t="str">
        <f>"Объем: "&amp;Source!I31&amp;"=39/"&amp;"100"</f>
        <v>Объем: 0,39=39/100</v>
      </c>
    </row>
    <row r="67" spans="1:27" ht="14.25" x14ac:dyDescent="0.2">
      <c r="A67" s="23"/>
      <c r="B67" s="24"/>
      <c r="C67" s="24" t="s">
        <v>252</v>
      </c>
      <c r="D67" s="25"/>
      <c r="E67" s="10"/>
      <c r="F67" s="27">
        <f>Source!AO31</f>
        <v>156.59</v>
      </c>
      <c r="G67" s="26" t="str">
        <f>Source!DG31</f>
        <v>)*1,2</v>
      </c>
      <c r="H67" s="10">
        <f>Source!AV31</f>
        <v>1.0669999999999999</v>
      </c>
      <c r="I67" s="28">
        <f>ROUND((ROUND((Source!AF31*Source!AV31*Source!I31),2)),2)</f>
        <v>78.19</v>
      </c>
      <c r="J67" s="10">
        <f>IF(Source!BA31&lt;&gt; 0, Source!BA31, 1)</f>
        <v>24.82</v>
      </c>
      <c r="K67" s="28">
        <f>Source!S31</f>
        <v>1940.68</v>
      </c>
      <c r="W67">
        <f>I67</f>
        <v>78.19</v>
      </c>
    </row>
    <row r="68" spans="1:27" ht="14.25" x14ac:dyDescent="0.2">
      <c r="A68" s="23"/>
      <c r="B68" s="24"/>
      <c r="C68" s="24" t="s">
        <v>253</v>
      </c>
      <c r="D68" s="25"/>
      <c r="E68" s="10"/>
      <c r="F68" s="27">
        <f>Source!AM31</f>
        <v>828.39</v>
      </c>
      <c r="G68" s="26" t="str">
        <f>Source!DE31</f>
        <v>)*1,2</v>
      </c>
      <c r="H68" s="10">
        <f>Source!AV31</f>
        <v>1.0669999999999999</v>
      </c>
      <c r="I68" s="28">
        <f>(ROUND((ROUND((((Source!ET31*1.2))*Source!AV31*Source!I31),2)),2)+ROUND((ROUND(((Source!AE31-((Source!EU31*1.2)))*Source!AV31*Source!I31),2)),2))</f>
        <v>413.66</v>
      </c>
      <c r="J68" s="10">
        <f>IF(Source!BB31&lt;&gt; 0, Source!BB31, 1)</f>
        <v>7.48</v>
      </c>
      <c r="K68" s="28">
        <f>Source!Q31</f>
        <v>3094.18</v>
      </c>
    </row>
    <row r="69" spans="1:27" ht="14.25" x14ac:dyDescent="0.2">
      <c r="A69" s="23"/>
      <c r="B69" s="24"/>
      <c r="C69" s="24" t="s">
        <v>254</v>
      </c>
      <c r="D69" s="25"/>
      <c r="E69" s="10"/>
      <c r="F69" s="27">
        <f>Source!AN31</f>
        <v>158.47</v>
      </c>
      <c r="G69" s="26" t="str">
        <f>Source!DF31</f>
        <v>)*1,2</v>
      </c>
      <c r="H69" s="10">
        <f>Source!AV31</f>
        <v>1.0669999999999999</v>
      </c>
      <c r="I69" s="29">
        <f>ROUND((ROUND((Source!AE31*Source!AV31*Source!I31),2)),2)</f>
        <v>79.13</v>
      </c>
      <c r="J69" s="10">
        <f>IF(Source!BS31&lt;&gt; 0, Source!BS31, 1)</f>
        <v>24.82</v>
      </c>
      <c r="K69" s="29">
        <f>Source!R31</f>
        <v>1964.01</v>
      </c>
      <c r="W69">
        <f>I69</f>
        <v>79.13</v>
      </c>
    </row>
    <row r="70" spans="1:27" ht="14.25" x14ac:dyDescent="0.2">
      <c r="A70" s="23"/>
      <c r="B70" s="24"/>
      <c r="C70" s="24" t="s">
        <v>255</v>
      </c>
      <c r="D70" s="25"/>
      <c r="E70" s="10"/>
      <c r="F70" s="27">
        <f>Source!AL31</f>
        <v>168</v>
      </c>
      <c r="G70" s="26" t="str">
        <f>Source!DD31</f>
        <v/>
      </c>
      <c r="H70" s="10">
        <f>Source!AW31</f>
        <v>1.081</v>
      </c>
      <c r="I70" s="28">
        <f>ROUND((ROUND((Source!AC31*Source!AW31*Source!I31),2)),2)</f>
        <v>70.83</v>
      </c>
      <c r="J70" s="10">
        <f>IF(Source!BC31&lt;&gt; 0, Source!BC31, 1)</f>
        <v>5.29</v>
      </c>
      <c r="K70" s="28">
        <f>Source!P31</f>
        <v>374.69</v>
      </c>
    </row>
    <row r="71" spans="1:27" ht="14.25" x14ac:dyDescent="0.2">
      <c r="A71" s="23"/>
      <c r="B71" s="24"/>
      <c r="C71" s="24" t="s">
        <v>256</v>
      </c>
      <c r="D71" s="25" t="s">
        <v>257</v>
      </c>
      <c r="E71" s="10">
        <f>Source!DN31</f>
        <v>114</v>
      </c>
      <c r="F71" s="27"/>
      <c r="G71" s="26"/>
      <c r="H71" s="10"/>
      <c r="I71" s="28">
        <f>SUM(Q65:Q70)</f>
        <v>89.14</v>
      </c>
      <c r="J71" s="10">
        <f>Source!BZ31</f>
        <v>77</v>
      </c>
      <c r="K71" s="28">
        <f>SUM(R65:R70)</f>
        <v>1494.32</v>
      </c>
    </row>
    <row r="72" spans="1:27" ht="14.25" x14ac:dyDescent="0.2">
      <c r="A72" s="23"/>
      <c r="B72" s="24"/>
      <c r="C72" s="24" t="s">
        <v>258</v>
      </c>
      <c r="D72" s="25" t="s">
        <v>257</v>
      </c>
      <c r="E72" s="10">
        <f>Source!DO31</f>
        <v>67</v>
      </c>
      <c r="F72" s="27"/>
      <c r="G72" s="26"/>
      <c r="H72" s="10"/>
      <c r="I72" s="28">
        <f>SUM(S65:S71)</f>
        <v>52.39</v>
      </c>
      <c r="J72" s="10">
        <f>Source!CA31</f>
        <v>41</v>
      </c>
      <c r="K72" s="28">
        <f>SUM(T65:T71)</f>
        <v>795.68</v>
      </c>
    </row>
    <row r="73" spans="1:27" ht="14.25" x14ac:dyDescent="0.2">
      <c r="A73" s="23"/>
      <c r="B73" s="24"/>
      <c r="C73" s="24" t="s">
        <v>259</v>
      </c>
      <c r="D73" s="25" t="s">
        <v>257</v>
      </c>
      <c r="E73" s="10">
        <f>175</f>
        <v>175</v>
      </c>
      <c r="F73" s="27"/>
      <c r="G73" s="26"/>
      <c r="H73" s="10"/>
      <c r="I73" s="28">
        <f>SUM(U65:U72)</f>
        <v>138.47999999999999</v>
      </c>
      <c r="J73" s="10">
        <f>157</f>
        <v>157</v>
      </c>
      <c r="K73" s="28">
        <f>SUM(V65:V72)</f>
        <v>3083.5</v>
      </c>
    </row>
    <row r="74" spans="1:27" ht="14.25" x14ac:dyDescent="0.2">
      <c r="A74" s="23"/>
      <c r="B74" s="24"/>
      <c r="C74" s="24" t="s">
        <v>260</v>
      </c>
      <c r="D74" s="25" t="s">
        <v>261</v>
      </c>
      <c r="E74" s="10">
        <f>Source!AQ31</f>
        <v>12.7</v>
      </c>
      <c r="F74" s="27"/>
      <c r="G74" s="26" t="str">
        <f>Source!DI31</f>
        <v>)*1,2</v>
      </c>
      <c r="H74" s="10">
        <f>Source!AV31</f>
        <v>1.0669999999999999</v>
      </c>
      <c r="I74" s="28">
        <f>Source!U31</f>
        <v>6.3418211999999992</v>
      </c>
      <c r="J74" s="10"/>
      <c r="K74" s="28"/>
    </row>
    <row r="75" spans="1:27" ht="15" x14ac:dyDescent="0.25">
      <c r="A75" s="31"/>
      <c r="B75" s="31"/>
      <c r="C75" s="31"/>
      <c r="D75" s="31"/>
      <c r="E75" s="31"/>
      <c r="F75" s="31"/>
      <c r="G75" s="31"/>
      <c r="H75" s="56">
        <f>I67+I68+I70+I71+I72+I73</f>
        <v>842.69</v>
      </c>
      <c r="I75" s="56"/>
      <c r="J75" s="56">
        <f>K67+K68+K70+K71+K72+K73</f>
        <v>10783.05</v>
      </c>
      <c r="K75" s="56"/>
      <c r="O75" s="30">
        <f>I67+I68+I70+I71+I72+I73</f>
        <v>842.69</v>
      </c>
      <c r="P75" s="30">
        <f>K67+K68+K70+K71+K72+K73</f>
        <v>10783.05</v>
      </c>
      <c r="X75">
        <f>IF(Source!BI31&lt;=1,I67+I68+I70+I71+I72+I73-0, 0)</f>
        <v>0</v>
      </c>
      <c r="Y75">
        <f>IF(Source!BI31=2,I67+I68+I70+I71+I72+I73-0, 0)</f>
        <v>842.69</v>
      </c>
      <c r="Z75">
        <f>IF(Source!BI31=3,I67+I68+I70+I71+I72+I73-0, 0)</f>
        <v>0</v>
      </c>
      <c r="AA75">
        <f>IF(Source!BI31=4,I67+I68+I70+I71+I72+I73,0)</f>
        <v>0</v>
      </c>
    </row>
    <row r="76" spans="1:27" ht="85.5" x14ac:dyDescent="0.2">
      <c r="A76" s="23" t="str">
        <f>Source!E32</f>
        <v>5</v>
      </c>
      <c r="B76" s="24" t="str">
        <f>Source!F32</f>
        <v>4.8-79-3</v>
      </c>
      <c r="C76" s="24" t="s">
        <v>54</v>
      </c>
      <c r="D76" s="25" t="str">
        <f>Source!H32</f>
        <v>100 м</v>
      </c>
      <c r="E76" s="10">
        <f>Source!I32</f>
        <v>0.27</v>
      </c>
      <c r="F76" s="27"/>
      <c r="G76" s="26"/>
      <c r="H76" s="10"/>
      <c r="I76" s="28"/>
      <c r="J76" s="10"/>
      <c r="K76" s="28"/>
      <c r="Q76">
        <f>ROUND((Source!DN32/100)*ROUND((ROUND((Source!AF32*Source!AV32*Source!I32),2)),2), 2)</f>
        <v>78.239999999999995</v>
      </c>
      <c r="R76">
        <f>Source!X32</f>
        <v>1311.62</v>
      </c>
      <c r="S76">
        <f>ROUND((Source!DO32/100)*ROUND((ROUND((Source!AF32*Source!AV32*Source!I32),2)),2), 2)</f>
        <v>45.98</v>
      </c>
      <c r="T76">
        <f>Source!Y32</f>
        <v>698.39</v>
      </c>
      <c r="U76">
        <f>ROUND((175/100)*ROUND((ROUND((Source!AE32*Source!AV32*Source!I32),2)),2), 2)</f>
        <v>45.43</v>
      </c>
      <c r="V76">
        <f>ROUND((157/100)*ROUND(ROUND((ROUND((Source!AE32*Source!AV32*Source!I32),2)*Source!BS32),2), 2), 2)</f>
        <v>1011.6</v>
      </c>
    </row>
    <row r="77" spans="1:27" x14ac:dyDescent="0.2">
      <c r="C77" s="32" t="str">
        <f>"Объем: "&amp;Source!I32&amp;"=27/"&amp;"100"</f>
        <v>Объем: 0,27=27/100</v>
      </c>
    </row>
    <row r="78" spans="1:27" ht="14.25" x14ac:dyDescent="0.2">
      <c r="A78" s="23"/>
      <c r="B78" s="24"/>
      <c r="C78" s="24" t="s">
        <v>252</v>
      </c>
      <c r="D78" s="25"/>
      <c r="E78" s="10"/>
      <c r="F78" s="27">
        <f>Source!AO32</f>
        <v>198.51</v>
      </c>
      <c r="G78" s="26" t="str">
        <f>Source!DG32</f>
        <v>)*1,2</v>
      </c>
      <c r="H78" s="10">
        <f>Source!AV32</f>
        <v>1.0669999999999999</v>
      </c>
      <c r="I78" s="28">
        <f>ROUND((ROUND((Source!AF32*Source!AV32*Source!I32),2)),2)</f>
        <v>68.63</v>
      </c>
      <c r="J78" s="10">
        <f>IF(Source!BA32&lt;&gt; 0, Source!BA32, 1)</f>
        <v>24.82</v>
      </c>
      <c r="K78" s="28">
        <f>Source!S32</f>
        <v>1703.4</v>
      </c>
      <c r="W78">
        <f>I78</f>
        <v>68.63</v>
      </c>
    </row>
    <row r="79" spans="1:27" ht="14.25" x14ac:dyDescent="0.2">
      <c r="A79" s="23"/>
      <c r="B79" s="24"/>
      <c r="C79" s="24" t="s">
        <v>253</v>
      </c>
      <c r="D79" s="25"/>
      <c r="E79" s="10"/>
      <c r="F79" s="27">
        <f>Source!AM32</f>
        <v>463.73</v>
      </c>
      <c r="G79" s="26" t="str">
        <f>Source!DE32</f>
        <v>)*1,2</v>
      </c>
      <c r="H79" s="10">
        <f>Source!AV32</f>
        <v>1.0669999999999999</v>
      </c>
      <c r="I79" s="28">
        <f>(ROUND((ROUND((((Source!ET32*1.2))*Source!AV32*Source!I32),2)),2)+ROUND((ROUND(((Source!AE32-((Source!EU32*1.2)))*Source!AV32*Source!I32),2)),2))</f>
        <v>160.32</v>
      </c>
      <c r="J79" s="10">
        <f>IF(Source!BB32&lt;&gt; 0, Source!BB32, 1)</f>
        <v>5.52</v>
      </c>
      <c r="K79" s="28">
        <f>Source!Q32</f>
        <v>884.97</v>
      </c>
    </row>
    <row r="80" spans="1:27" ht="14.25" x14ac:dyDescent="0.2">
      <c r="A80" s="23"/>
      <c r="B80" s="24"/>
      <c r="C80" s="24" t="s">
        <v>254</v>
      </c>
      <c r="D80" s="25"/>
      <c r="E80" s="10"/>
      <c r="F80" s="27">
        <f>Source!AN32</f>
        <v>75.08</v>
      </c>
      <c r="G80" s="26" t="str">
        <f>Source!DF32</f>
        <v>)*1,2</v>
      </c>
      <c r="H80" s="10">
        <f>Source!AV32</f>
        <v>1.0669999999999999</v>
      </c>
      <c r="I80" s="29">
        <f>ROUND((ROUND((Source!AE32*Source!AV32*Source!I32),2)),2)</f>
        <v>25.96</v>
      </c>
      <c r="J80" s="10">
        <f>IF(Source!BS32&lt;&gt; 0, Source!BS32, 1)</f>
        <v>24.82</v>
      </c>
      <c r="K80" s="29">
        <f>Source!R32</f>
        <v>644.33000000000004</v>
      </c>
      <c r="W80">
        <f>I80</f>
        <v>25.96</v>
      </c>
    </row>
    <row r="81" spans="1:27" ht="14.25" x14ac:dyDescent="0.2">
      <c r="A81" s="23"/>
      <c r="B81" s="24"/>
      <c r="C81" s="24" t="s">
        <v>255</v>
      </c>
      <c r="D81" s="25"/>
      <c r="E81" s="10"/>
      <c r="F81" s="27">
        <f>Source!AL32</f>
        <v>27.23</v>
      </c>
      <c r="G81" s="26" t="str">
        <f>Source!DD32</f>
        <v/>
      </c>
      <c r="H81" s="10">
        <f>Source!AW32</f>
        <v>1.081</v>
      </c>
      <c r="I81" s="28">
        <f>ROUND((ROUND((Source!AC32*Source!AW32*Source!I32),2)),2)</f>
        <v>7.95</v>
      </c>
      <c r="J81" s="10">
        <f>IF(Source!BC32&lt;&gt; 0, Source!BC32, 1)</f>
        <v>5.29</v>
      </c>
      <c r="K81" s="28">
        <f>Source!P32</f>
        <v>42.06</v>
      </c>
    </row>
    <row r="82" spans="1:27" ht="14.25" x14ac:dyDescent="0.2">
      <c r="A82" s="23"/>
      <c r="B82" s="24"/>
      <c r="C82" s="24" t="s">
        <v>256</v>
      </c>
      <c r="D82" s="25" t="s">
        <v>257</v>
      </c>
      <c r="E82" s="10">
        <f>Source!DN32</f>
        <v>114</v>
      </c>
      <c r="F82" s="27"/>
      <c r="G82" s="26"/>
      <c r="H82" s="10"/>
      <c r="I82" s="28">
        <f>SUM(Q76:Q81)</f>
        <v>78.239999999999995</v>
      </c>
      <c r="J82" s="10">
        <f>Source!BZ32</f>
        <v>77</v>
      </c>
      <c r="K82" s="28">
        <f>SUM(R76:R81)</f>
        <v>1311.62</v>
      </c>
    </row>
    <row r="83" spans="1:27" ht="14.25" x14ac:dyDescent="0.2">
      <c r="A83" s="23"/>
      <c r="B83" s="24"/>
      <c r="C83" s="24" t="s">
        <v>258</v>
      </c>
      <c r="D83" s="25" t="s">
        <v>257</v>
      </c>
      <c r="E83" s="10">
        <f>Source!DO32</f>
        <v>67</v>
      </c>
      <c r="F83" s="27"/>
      <c r="G83" s="26"/>
      <c r="H83" s="10"/>
      <c r="I83" s="28">
        <f>SUM(S76:S82)</f>
        <v>45.98</v>
      </c>
      <c r="J83" s="10">
        <f>Source!CA32</f>
        <v>41</v>
      </c>
      <c r="K83" s="28">
        <f>SUM(T76:T82)</f>
        <v>698.39</v>
      </c>
    </row>
    <row r="84" spans="1:27" ht="14.25" x14ac:dyDescent="0.2">
      <c r="A84" s="23"/>
      <c r="B84" s="24"/>
      <c r="C84" s="24" t="s">
        <v>259</v>
      </c>
      <c r="D84" s="25" t="s">
        <v>257</v>
      </c>
      <c r="E84" s="10">
        <f>175</f>
        <v>175</v>
      </c>
      <c r="F84" s="27"/>
      <c r="G84" s="26"/>
      <c r="H84" s="10"/>
      <c r="I84" s="28">
        <f>SUM(U76:U83)</f>
        <v>45.43</v>
      </c>
      <c r="J84" s="10">
        <f>157</f>
        <v>157</v>
      </c>
      <c r="K84" s="28">
        <f>SUM(V76:V83)</f>
        <v>1011.6</v>
      </c>
    </row>
    <row r="85" spans="1:27" ht="14.25" x14ac:dyDescent="0.2">
      <c r="A85" s="23"/>
      <c r="B85" s="24"/>
      <c r="C85" s="24" t="s">
        <v>260</v>
      </c>
      <c r="D85" s="25" t="s">
        <v>261</v>
      </c>
      <c r="E85" s="10">
        <f>Source!AQ32</f>
        <v>16.100000000000001</v>
      </c>
      <c r="F85" s="27"/>
      <c r="G85" s="26" t="str">
        <f>Source!DI32</f>
        <v>)*1,2</v>
      </c>
      <c r="H85" s="10">
        <f>Source!AV32</f>
        <v>1.0669999999999999</v>
      </c>
      <c r="I85" s="28">
        <f>Source!U32</f>
        <v>5.5658988000000003</v>
      </c>
      <c r="J85" s="10"/>
      <c r="K85" s="28"/>
    </row>
    <row r="86" spans="1:27" ht="15" x14ac:dyDescent="0.25">
      <c r="A86" s="31"/>
      <c r="B86" s="31"/>
      <c r="C86" s="31"/>
      <c r="D86" s="31"/>
      <c r="E86" s="31"/>
      <c r="F86" s="31"/>
      <c r="G86" s="31"/>
      <c r="H86" s="56">
        <f>I78+I79+I81+I82+I83+I84</f>
        <v>406.55</v>
      </c>
      <c r="I86" s="56"/>
      <c r="J86" s="56">
        <f>K78+K79+K81+K82+K83+K84</f>
        <v>5652.04</v>
      </c>
      <c r="K86" s="56"/>
      <c r="O86" s="30">
        <f>I78+I79+I81+I82+I83+I84</f>
        <v>406.55</v>
      </c>
      <c r="P86" s="30">
        <f>K78+K79+K81+K82+K83+K84</f>
        <v>5652.04</v>
      </c>
      <c r="X86">
        <f>IF(Source!BI32&lt;=1,I78+I79+I81+I82+I83+I84-0, 0)</f>
        <v>0</v>
      </c>
      <c r="Y86">
        <f>IF(Source!BI32=2,I78+I79+I81+I82+I83+I84-0, 0)</f>
        <v>406.55</v>
      </c>
      <c r="Z86">
        <f>IF(Source!BI32=3,I78+I79+I81+I82+I83+I84-0, 0)</f>
        <v>0</v>
      </c>
      <c r="AA86">
        <f>IF(Source!BI32=4,I78+I79+I81+I82+I83+I84,0)</f>
        <v>0</v>
      </c>
    </row>
    <row r="87" spans="1:27" ht="85.5" x14ac:dyDescent="0.2">
      <c r="A87" s="23" t="str">
        <f>Source!E33</f>
        <v>6</v>
      </c>
      <c r="B87" s="24" t="str">
        <f>Source!F33</f>
        <v>4.8-79-3</v>
      </c>
      <c r="C87" s="24" t="s">
        <v>57</v>
      </c>
      <c r="D87" s="25" t="str">
        <f>Source!H33</f>
        <v>100 м</v>
      </c>
      <c r="E87" s="10">
        <f>Source!I33</f>
        <v>0.27</v>
      </c>
      <c r="F87" s="27"/>
      <c r="G87" s="26"/>
      <c r="H87" s="10"/>
      <c r="I87" s="28"/>
      <c r="J87" s="10"/>
      <c r="K87" s="28"/>
      <c r="Q87">
        <f>ROUND((Source!DN33/100)*ROUND((ROUND((Source!AF33*Source!AV33*Source!I33),2)),2), 2)</f>
        <v>23.47</v>
      </c>
      <c r="R87">
        <f>Source!X33</f>
        <v>393.5</v>
      </c>
      <c r="S87">
        <f>ROUND((Source!DO33/100)*ROUND((ROUND((Source!AF33*Source!AV33*Source!I33),2)),2), 2)</f>
        <v>13.8</v>
      </c>
      <c r="T87">
        <f>Source!Y33</f>
        <v>209.53</v>
      </c>
      <c r="U87">
        <f>ROUND((175/100)*ROUND((ROUND((Source!AE33*Source!AV33*Source!I33),2)),2), 2)</f>
        <v>13.63</v>
      </c>
      <c r="V87">
        <f>ROUND((157/100)*ROUND(ROUND((ROUND((Source!AE33*Source!AV33*Source!I33),2)*Source!BS33),2), 2), 2)</f>
        <v>303.56</v>
      </c>
    </row>
    <row r="88" spans="1:27" x14ac:dyDescent="0.2">
      <c r="C88" s="32" t="str">
        <f>"Объем: "&amp;Source!I33&amp;"=27/"&amp;"100"</f>
        <v>Объем: 0,27=27/100</v>
      </c>
    </row>
    <row r="89" spans="1:27" ht="28.5" x14ac:dyDescent="0.2">
      <c r="A89" s="23"/>
      <c r="B89" s="24"/>
      <c r="C89" s="24" t="s">
        <v>252</v>
      </c>
      <c r="D89" s="25"/>
      <c r="E89" s="10"/>
      <c r="F89" s="27">
        <f>Source!AO33</f>
        <v>198.51</v>
      </c>
      <c r="G89" s="26" t="str">
        <f>Source!DG33</f>
        <v>)*1,2)*0,3</v>
      </c>
      <c r="H89" s="10">
        <f>Source!AV33</f>
        <v>1.0669999999999999</v>
      </c>
      <c r="I89" s="28">
        <f>ROUND((ROUND((Source!AF33*Source!AV33*Source!I33),2)),2)</f>
        <v>20.59</v>
      </c>
      <c r="J89" s="10">
        <f>IF(Source!BA33&lt;&gt; 0, Source!BA33, 1)</f>
        <v>24.82</v>
      </c>
      <c r="K89" s="28">
        <f>Source!S33</f>
        <v>511.04</v>
      </c>
      <c r="W89">
        <f>I89</f>
        <v>20.59</v>
      </c>
    </row>
    <row r="90" spans="1:27" ht="28.5" x14ac:dyDescent="0.2">
      <c r="A90" s="23"/>
      <c r="B90" s="24"/>
      <c r="C90" s="24" t="s">
        <v>253</v>
      </c>
      <c r="D90" s="25"/>
      <c r="E90" s="10"/>
      <c r="F90" s="27">
        <f>Source!AM33</f>
        <v>463.73</v>
      </c>
      <c r="G90" s="26" t="str">
        <f>Source!DE33</f>
        <v>)*1,2)*0,3</v>
      </c>
      <c r="H90" s="10">
        <f>Source!AV33</f>
        <v>1.0669999999999999</v>
      </c>
      <c r="I90" s="28">
        <f>(ROUND((ROUND(((((Source!ET33*1.2)*0.3))*Source!AV33*Source!I33),2)),2)+ROUND((ROUND(((Source!AE33-(((Source!EU33*1.2)*0.3)))*Source!AV33*Source!I33),2)),2))</f>
        <v>48.09</v>
      </c>
      <c r="J90" s="10">
        <f>IF(Source!BB33&lt;&gt; 0, Source!BB33, 1)</f>
        <v>5.52</v>
      </c>
      <c r="K90" s="28">
        <f>Source!Q33</f>
        <v>265.45999999999998</v>
      </c>
    </row>
    <row r="91" spans="1:27" ht="28.5" x14ac:dyDescent="0.2">
      <c r="A91" s="23"/>
      <c r="B91" s="24"/>
      <c r="C91" s="24" t="s">
        <v>254</v>
      </c>
      <c r="D91" s="25"/>
      <c r="E91" s="10"/>
      <c r="F91" s="27">
        <f>Source!AN33</f>
        <v>75.08</v>
      </c>
      <c r="G91" s="26" t="str">
        <f>Source!DF33</f>
        <v>)*1,2)*0,3</v>
      </c>
      <c r="H91" s="10">
        <f>Source!AV33</f>
        <v>1.0669999999999999</v>
      </c>
      <c r="I91" s="29">
        <f>ROUND((ROUND((Source!AE33*Source!AV33*Source!I33),2)),2)</f>
        <v>7.79</v>
      </c>
      <c r="J91" s="10">
        <f>IF(Source!BS33&lt;&gt; 0, Source!BS33, 1)</f>
        <v>24.82</v>
      </c>
      <c r="K91" s="29">
        <f>Source!R33</f>
        <v>193.35</v>
      </c>
      <c r="W91">
        <f>I91</f>
        <v>7.79</v>
      </c>
    </row>
    <row r="92" spans="1:27" ht="14.25" x14ac:dyDescent="0.2">
      <c r="A92" s="23"/>
      <c r="B92" s="24"/>
      <c r="C92" s="24" t="s">
        <v>256</v>
      </c>
      <c r="D92" s="25" t="s">
        <v>257</v>
      </c>
      <c r="E92" s="10">
        <f>Source!DN33</f>
        <v>114</v>
      </c>
      <c r="F92" s="27"/>
      <c r="G92" s="26"/>
      <c r="H92" s="10"/>
      <c r="I92" s="28">
        <f>SUM(Q87:Q91)</f>
        <v>23.47</v>
      </c>
      <c r="J92" s="10">
        <f>Source!BZ33</f>
        <v>77</v>
      </c>
      <c r="K92" s="28">
        <f>SUM(R87:R91)</f>
        <v>393.5</v>
      </c>
    </row>
    <row r="93" spans="1:27" ht="14.25" x14ac:dyDescent="0.2">
      <c r="A93" s="23"/>
      <c r="B93" s="24"/>
      <c r="C93" s="24" t="s">
        <v>258</v>
      </c>
      <c r="D93" s="25" t="s">
        <v>257</v>
      </c>
      <c r="E93" s="10">
        <f>Source!DO33</f>
        <v>67</v>
      </c>
      <c r="F93" s="27"/>
      <c r="G93" s="26"/>
      <c r="H93" s="10"/>
      <c r="I93" s="28">
        <f>SUM(S87:S92)</f>
        <v>13.8</v>
      </c>
      <c r="J93" s="10">
        <f>Source!CA33</f>
        <v>41</v>
      </c>
      <c r="K93" s="28">
        <f>SUM(T87:T92)</f>
        <v>209.53</v>
      </c>
    </row>
    <row r="94" spans="1:27" ht="14.25" x14ac:dyDescent="0.2">
      <c r="A94" s="23"/>
      <c r="B94" s="24"/>
      <c r="C94" s="24" t="s">
        <v>259</v>
      </c>
      <c r="D94" s="25" t="s">
        <v>257</v>
      </c>
      <c r="E94" s="10">
        <f>175</f>
        <v>175</v>
      </c>
      <c r="F94" s="27"/>
      <c r="G94" s="26"/>
      <c r="H94" s="10"/>
      <c r="I94" s="28">
        <f>SUM(U87:U93)</f>
        <v>13.63</v>
      </c>
      <c r="J94" s="10">
        <f>157</f>
        <v>157</v>
      </c>
      <c r="K94" s="28">
        <f>SUM(V87:V93)</f>
        <v>303.56</v>
      </c>
    </row>
    <row r="95" spans="1:27" ht="28.5" x14ac:dyDescent="0.2">
      <c r="A95" s="23"/>
      <c r="B95" s="24"/>
      <c r="C95" s="24" t="s">
        <v>260</v>
      </c>
      <c r="D95" s="25" t="s">
        <v>261</v>
      </c>
      <c r="E95" s="10">
        <f>Source!AQ33</f>
        <v>16.100000000000001</v>
      </c>
      <c r="F95" s="27"/>
      <c r="G95" s="26" t="str">
        <f>Source!DI33</f>
        <v>)*1,2)*0,3</v>
      </c>
      <c r="H95" s="10">
        <f>Source!AV33</f>
        <v>1.0669999999999999</v>
      </c>
      <c r="I95" s="28">
        <f>Source!U33</f>
        <v>1.6697696400000002</v>
      </c>
      <c r="J95" s="10"/>
      <c r="K95" s="28"/>
    </row>
    <row r="96" spans="1:27" ht="15" x14ac:dyDescent="0.25">
      <c r="A96" s="31"/>
      <c r="B96" s="31"/>
      <c r="C96" s="31"/>
      <c r="D96" s="31"/>
      <c r="E96" s="31"/>
      <c r="F96" s="31"/>
      <c r="G96" s="31"/>
      <c r="H96" s="56">
        <f>I89+I90+I92+I93+I94</f>
        <v>119.58</v>
      </c>
      <c r="I96" s="56"/>
      <c r="J96" s="56">
        <f>K89+K90+K92+K93+K94</f>
        <v>1683.09</v>
      </c>
      <c r="K96" s="56"/>
      <c r="O96" s="30">
        <f>I89+I90+I92+I93+I94</f>
        <v>119.58</v>
      </c>
      <c r="P96" s="30">
        <f>K89+K90+K92+K93+K94</f>
        <v>1683.09</v>
      </c>
      <c r="X96">
        <f>IF(Source!BI33&lt;=1,I89+I90+I92+I93+I94-0, 0)</f>
        <v>0</v>
      </c>
      <c r="Y96">
        <f>IF(Source!BI33=2,I89+I90+I92+I93+I94-0, 0)</f>
        <v>119.58</v>
      </c>
      <c r="Z96">
        <f>IF(Source!BI33=3,I89+I90+I92+I93+I94-0, 0)</f>
        <v>0</v>
      </c>
      <c r="AA96">
        <f>IF(Source!BI33=4,I89+I90+I92+I93+I94,0)</f>
        <v>0</v>
      </c>
    </row>
    <row r="97" spans="1:27" ht="99.75" x14ac:dyDescent="0.2">
      <c r="A97" s="23" t="str">
        <f>Source!E34</f>
        <v>7</v>
      </c>
      <c r="B97" s="24" t="str">
        <f>Source!F34</f>
        <v>4.8-316-1</v>
      </c>
      <c r="C97" s="24" t="s">
        <v>62</v>
      </c>
      <c r="D97" s="25" t="str">
        <f>Source!H34</f>
        <v>шт.</v>
      </c>
      <c r="E97" s="10">
        <f>Source!I34</f>
        <v>10</v>
      </c>
      <c r="F97" s="27"/>
      <c r="G97" s="26"/>
      <c r="H97" s="10"/>
      <c r="I97" s="28"/>
      <c r="J97" s="10"/>
      <c r="K97" s="28"/>
      <c r="Q97">
        <f>ROUND((Source!DN34/100)*ROUND((ROUND((Source!AF34*Source!AV34*Source!I34),2)),2), 2)</f>
        <v>443.37</v>
      </c>
      <c r="R97">
        <f>Source!X34</f>
        <v>7432.8</v>
      </c>
      <c r="S97">
        <f>ROUND((Source!DO34/100)*ROUND((ROUND((Source!AF34*Source!AV34*Source!I34),2)),2), 2)</f>
        <v>260.58</v>
      </c>
      <c r="T97">
        <f>Source!Y34</f>
        <v>3957.73</v>
      </c>
      <c r="U97">
        <f>ROUND((175/100)*ROUND((ROUND((Source!AE34*Source!AV34*Source!I34),2)),2), 2)</f>
        <v>3.17</v>
      </c>
      <c r="V97">
        <f>ROUND((157/100)*ROUND(ROUND((ROUND((Source!AE34*Source!AV34*Source!I34),2)*Source!BS34),2), 2), 2)</f>
        <v>70.52</v>
      </c>
    </row>
    <row r="98" spans="1:27" ht="14.25" x14ac:dyDescent="0.2">
      <c r="A98" s="23"/>
      <c r="B98" s="24"/>
      <c r="C98" s="24" t="s">
        <v>252</v>
      </c>
      <c r="D98" s="25"/>
      <c r="E98" s="10"/>
      <c r="F98" s="27">
        <f>Source!AO34</f>
        <v>36.450000000000003</v>
      </c>
      <c r="G98" s="26" t="str">
        <f>Source!DG34</f>
        <v/>
      </c>
      <c r="H98" s="10">
        <f>Source!AV34</f>
        <v>1.0669999999999999</v>
      </c>
      <c r="I98" s="28">
        <f>ROUND((ROUND((Source!AF34*Source!AV34*Source!I34),2)),2)</f>
        <v>388.92</v>
      </c>
      <c r="J98" s="10">
        <f>IF(Source!BA34&lt;&gt; 0, Source!BA34, 1)</f>
        <v>24.82</v>
      </c>
      <c r="K98" s="28">
        <f>Source!S34</f>
        <v>9652.99</v>
      </c>
      <c r="W98">
        <f>I98</f>
        <v>388.92</v>
      </c>
    </row>
    <row r="99" spans="1:27" ht="14.25" x14ac:dyDescent="0.2">
      <c r="A99" s="23"/>
      <c r="B99" s="24"/>
      <c r="C99" s="24" t="s">
        <v>253</v>
      </c>
      <c r="D99" s="25"/>
      <c r="E99" s="10"/>
      <c r="F99" s="27">
        <f>Source!AM34</f>
        <v>1.18</v>
      </c>
      <c r="G99" s="26" t="str">
        <f>Source!DE34</f>
        <v/>
      </c>
      <c r="H99" s="10">
        <f>Source!AV34</f>
        <v>1.0669999999999999</v>
      </c>
      <c r="I99" s="28">
        <f>(ROUND((ROUND(((Source!ET34)*Source!AV34*Source!I34),2)),2)+ROUND((ROUND(((Source!AE34-(Source!EU34))*Source!AV34*Source!I34),2)),2))</f>
        <v>12.59</v>
      </c>
      <c r="J99" s="10">
        <f>IF(Source!BB34&lt;&gt; 0, Source!BB34, 1)</f>
        <v>7.86</v>
      </c>
      <c r="K99" s="28">
        <f>Source!Q34</f>
        <v>98.96</v>
      </c>
    </row>
    <row r="100" spans="1:27" ht="14.25" x14ac:dyDescent="0.2">
      <c r="A100" s="23"/>
      <c r="B100" s="24"/>
      <c r="C100" s="24" t="s">
        <v>254</v>
      </c>
      <c r="D100" s="25"/>
      <c r="E100" s="10"/>
      <c r="F100" s="27">
        <f>Source!AN34</f>
        <v>0.17</v>
      </c>
      <c r="G100" s="26" t="str">
        <f>Source!DF34</f>
        <v/>
      </c>
      <c r="H100" s="10">
        <f>Source!AV34</f>
        <v>1.0669999999999999</v>
      </c>
      <c r="I100" s="29">
        <f>ROUND((ROUND((Source!AE34*Source!AV34*Source!I34),2)),2)</f>
        <v>1.81</v>
      </c>
      <c r="J100" s="10">
        <f>IF(Source!BS34&lt;&gt; 0, Source!BS34, 1)</f>
        <v>24.82</v>
      </c>
      <c r="K100" s="29">
        <f>Source!R34</f>
        <v>44.92</v>
      </c>
      <c r="W100">
        <f>I100</f>
        <v>1.81</v>
      </c>
    </row>
    <row r="101" spans="1:27" ht="14.25" x14ac:dyDescent="0.2">
      <c r="A101" s="23"/>
      <c r="B101" s="24"/>
      <c r="C101" s="24" t="s">
        <v>255</v>
      </c>
      <c r="D101" s="25"/>
      <c r="E101" s="10"/>
      <c r="F101" s="27">
        <f>Source!AL34</f>
        <v>7.53</v>
      </c>
      <c r="G101" s="26" t="str">
        <f>Source!DD34</f>
        <v/>
      </c>
      <c r="H101" s="10">
        <f>Source!AW34</f>
        <v>1.028</v>
      </c>
      <c r="I101" s="28">
        <f>ROUND((ROUND((Source!AC34*Source!AW34*Source!I34),2)),2)</f>
        <v>77.41</v>
      </c>
      <c r="J101" s="10">
        <f>IF(Source!BC34&lt;&gt; 0, Source!BC34, 1)</f>
        <v>7.77</v>
      </c>
      <c r="K101" s="28">
        <f>Source!P34</f>
        <v>601.48</v>
      </c>
    </row>
    <row r="102" spans="1:27" ht="14.25" x14ac:dyDescent="0.2">
      <c r="A102" s="23"/>
      <c r="B102" s="24"/>
      <c r="C102" s="24" t="s">
        <v>256</v>
      </c>
      <c r="D102" s="25" t="s">
        <v>257</v>
      </c>
      <c r="E102" s="10">
        <f>Source!DN34</f>
        <v>114</v>
      </c>
      <c r="F102" s="27"/>
      <c r="G102" s="26"/>
      <c r="H102" s="10"/>
      <c r="I102" s="28">
        <f>SUM(Q97:Q101)</f>
        <v>443.37</v>
      </c>
      <c r="J102" s="10">
        <f>Source!BZ34</f>
        <v>77</v>
      </c>
      <c r="K102" s="28">
        <f>SUM(R97:R101)</f>
        <v>7432.8</v>
      </c>
    </row>
    <row r="103" spans="1:27" ht="14.25" x14ac:dyDescent="0.2">
      <c r="A103" s="23"/>
      <c r="B103" s="24"/>
      <c r="C103" s="24" t="s">
        <v>258</v>
      </c>
      <c r="D103" s="25" t="s">
        <v>257</v>
      </c>
      <c r="E103" s="10">
        <f>Source!DO34</f>
        <v>67</v>
      </c>
      <c r="F103" s="27"/>
      <c r="G103" s="26"/>
      <c r="H103" s="10"/>
      <c r="I103" s="28">
        <f>SUM(S97:S102)</f>
        <v>260.58</v>
      </c>
      <c r="J103" s="10">
        <f>Source!CA34</f>
        <v>41</v>
      </c>
      <c r="K103" s="28">
        <f>SUM(T97:T102)</f>
        <v>3957.73</v>
      </c>
    </row>
    <row r="104" spans="1:27" ht="14.25" x14ac:dyDescent="0.2">
      <c r="A104" s="23"/>
      <c r="B104" s="24"/>
      <c r="C104" s="24" t="s">
        <v>259</v>
      </c>
      <c r="D104" s="25" t="s">
        <v>257</v>
      </c>
      <c r="E104" s="10">
        <f>175</f>
        <v>175</v>
      </c>
      <c r="F104" s="27"/>
      <c r="G104" s="26"/>
      <c r="H104" s="10"/>
      <c r="I104" s="28">
        <f>SUM(U97:U103)</f>
        <v>3.17</v>
      </c>
      <c r="J104" s="10">
        <f>157</f>
        <v>157</v>
      </c>
      <c r="K104" s="28">
        <f>SUM(V97:V103)</f>
        <v>70.52</v>
      </c>
    </row>
    <row r="105" spans="1:27" ht="14.25" x14ac:dyDescent="0.2">
      <c r="A105" s="23"/>
      <c r="B105" s="24"/>
      <c r="C105" s="24" t="s">
        <v>260</v>
      </c>
      <c r="D105" s="25" t="s">
        <v>261</v>
      </c>
      <c r="E105" s="10">
        <f>Source!AQ34</f>
        <v>2.5099999999999998</v>
      </c>
      <c r="F105" s="27"/>
      <c r="G105" s="26" t="str">
        <f>Source!DI34</f>
        <v/>
      </c>
      <c r="H105" s="10">
        <f>Source!AV34</f>
        <v>1.0669999999999999</v>
      </c>
      <c r="I105" s="28">
        <f>Source!U34</f>
        <v>26.781699999999997</v>
      </c>
      <c r="J105" s="10"/>
      <c r="K105" s="28"/>
    </row>
    <row r="106" spans="1:27" ht="15" x14ac:dyDescent="0.25">
      <c r="A106" s="31"/>
      <c r="B106" s="31"/>
      <c r="C106" s="31"/>
      <c r="D106" s="31"/>
      <c r="E106" s="31"/>
      <c r="F106" s="31"/>
      <c r="G106" s="31"/>
      <c r="H106" s="56">
        <f>I98+I99+I101+I102+I103+I104</f>
        <v>1186.04</v>
      </c>
      <c r="I106" s="56"/>
      <c r="J106" s="56">
        <f>K98+K99+K101+K102+K103+K104</f>
        <v>21814.48</v>
      </c>
      <c r="K106" s="56"/>
      <c r="O106" s="30">
        <f>I98+I99+I101+I102+I103+I104</f>
        <v>1186.04</v>
      </c>
      <c r="P106" s="30">
        <f>K98+K99+K101+K102+K103+K104</f>
        <v>21814.48</v>
      </c>
      <c r="X106">
        <f>IF(Source!BI34&lt;=1,I98+I99+I101+I102+I103+I104-0, 0)</f>
        <v>0</v>
      </c>
      <c r="Y106">
        <f>IF(Source!BI34=2,I98+I99+I101+I102+I103+I104-0, 0)</f>
        <v>1186.04</v>
      </c>
      <c r="Z106">
        <f>IF(Source!BI34=3,I98+I99+I101+I102+I103+I104-0, 0)</f>
        <v>0</v>
      </c>
      <c r="AA106">
        <f>IF(Source!BI34=4,I98+I99+I101+I102+I103+I104,0)</f>
        <v>0</v>
      </c>
    </row>
    <row r="107" spans="1:27" ht="28.5" x14ac:dyDescent="0.2">
      <c r="A107" s="23" t="str">
        <f>Source!E35</f>
        <v>8</v>
      </c>
      <c r="B107" s="24" t="str">
        <f>Source!F35</f>
        <v>4.8-47-2</v>
      </c>
      <c r="C107" s="24" t="s">
        <v>68</v>
      </c>
      <c r="D107" s="25" t="str">
        <f>Source!H35</f>
        <v>100 м</v>
      </c>
      <c r="E107" s="10">
        <f>Source!I35</f>
        <v>0.09</v>
      </c>
      <c r="F107" s="27"/>
      <c r="G107" s="26"/>
      <c r="H107" s="10"/>
      <c r="I107" s="28"/>
      <c r="J107" s="10"/>
      <c r="K107" s="28"/>
      <c r="Q107">
        <f>ROUND((Source!DN35/100)*ROUND((ROUND((Source!AF35*Source!AV35*Source!I35),2)),2), 2)</f>
        <v>90.45</v>
      </c>
      <c r="R107">
        <f>Source!X35</f>
        <v>1309.2</v>
      </c>
      <c r="S107">
        <f>ROUND((Source!DO35/100)*ROUND((ROUND((Source!AF35*Source!AV35*Source!I35),2)),2), 2)</f>
        <v>53.16</v>
      </c>
      <c r="T107">
        <f>Source!Y35</f>
        <v>697.11</v>
      </c>
      <c r="U107">
        <f>ROUND((175/100)*ROUND((ROUND((Source!AE35*Source!AV35*Source!I35),2)),2), 2)</f>
        <v>24.03</v>
      </c>
      <c r="V107">
        <f>ROUND((157/100)*ROUND(ROUND((ROUND((Source!AE35*Source!AV35*Source!I35),2)*Source!BS35),2), 2), 2)</f>
        <v>461.94</v>
      </c>
    </row>
    <row r="108" spans="1:27" x14ac:dyDescent="0.2">
      <c r="C108" s="32" t="str">
        <f>"Объем: "&amp;Source!I35&amp;"=9/"&amp;"100"</f>
        <v>Объем: 0,09=9/100</v>
      </c>
    </row>
    <row r="109" spans="1:27" ht="14.25" x14ac:dyDescent="0.2">
      <c r="A109" s="23"/>
      <c r="B109" s="24"/>
      <c r="C109" s="24" t="s">
        <v>252</v>
      </c>
      <c r="D109" s="25"/>
      <c r="E109" s="10"/>
      <c r="F109" s="27">
        <f>Source!AO35</f>
        <v>701.67</v>
      </c>
      <c r="G109" s="26" t="str">
        <f>Source!DG35</f>
        <v>)*1,2</v>
      </c>
      <c r="H109" s="10">
        <f>Source!AV35</f>
        <v>1.0469999999999999</v>
      </c>
      <c r="I109" s="28">
        <f>ROUND((ROUND((Source!AF35*Source!AV35*Source!I35),2)),2)</f>
        <v>79.34</v>
      </c>
      <c r="J109" s="10">
        <f>IF(Source!BA35&lt;&gt; 0, Source!BA35, 1)</f>
        <v>21.43</v>
      </c>
      <c r="K109" s="28">
        <f>Source!S35</f>
        <v>1700.26</v>
      </c>
      <c r="W109">
        <f>I109</f>
        <v>79.34</v>
      </c>
    </row>
    <row r="110" spans="1:27" ht="14.25" x14ac:dyDescent="0.2">
      <c r="A110" s="23"/>
      <c r="B110" s="24"/>
      <c r="C110" s="24" t="s">
        <v>253</v>
      </c>
      <c r="D110" s="25"/>
      <c r="E110" s="10"/>
      <c r="F110" s="27">
        <f>Source!AM35</f>
        <v>523.13</v>
      </c>
      <c r="G110" s="26" t="str">
        <f>Source!DE35</f>
        <v>)*1,2</v>
      </c>
      <c r="H110" s="10">
        <f>Source!AV35</f>
        <v>1.0469999999999999</v>
      </c>
      <c r="I110" s="28">
        <f>(ROUND((ROUND((((Source!ET35*1.2))*Source!AV35*Source!I35),2)),2)+ROUND((ROUND(((Source!AE35-((Source!EU35*1.2)))*Source!AV35*Source!I35),2)),2))</f>
        <v>59.15</v>
      </c>
      <c r="J110" s="10">
        <f>IF(Source!BB35&lt;&gt; 0, Source!BB35, 1)</f>
        <v>9.94</v>
      </c>
      <c r="K110" s="28">
        <f>Source!Q35</f>
        <v>587.95000000000005</v>
      </c>
    </row>
    <row r="111" spans="1:27" ht="14.25" x14ac:dyDescent="0.2">
      <c r="A111" s="23"/>
      <c r="B111" s="24"/>
      <c r="C111" s="24" t="s">
        <v>254</v>
      </c>
      <c r="D111" s="25"/>
      <c r="E111" s="10"/>
      <c r="F111" s="27">
        <f>Source!AN35</f>
        <v>121.38</v>
      </c>
      <c r="G111" s="26" t="str">
        <f>Source!DF35</f>
        <v>)*1,2</v>
      </c>
      <c r="H111" s="10">
        <f>Source!AV35</f>
        <v>1.0469999999999999</v>
      </c>
      <c r="I111" s="29">
        <f>ROUND((ROUND((Source!AE35*Source!AV35*Source!I35),2)),2)</f>
        <v>13.73</v>
      </c>
      <c r="J111" s="10">
        <f>IF(Source!BS35&lt;&gt; 0, Source!BS35, 1)</f>
        <v>21.43</v>
      </c>
      <c r="K111" s="29">
        <f>Source!R35</f>
        <v>294.23</v>
      </c>
      <c r="W111">
        <f>I111</f>
        <v>13.73</v>
      </c>
    </row>
    <row r="112" spans="1:27" ht="14.25" x14ac:dyDescent="0.2">
      <c r="A112" s="23"/>
      <c r="B112" s="24"/>
      <c r="C112" s="24" t="s">
        <v>255</v>
      </c>
      <c r="D112" s="25"/>
      <c r="E112" s="10"/>
      <c r="F112" s="27">
        <f>Source!AL35</f>
        <v>81.2</v>
      </c>
      <c r="G112" s="26" t="str">
        <f>Source!DD35</f>
        <v/>
      </c>
      <c r="H112" s="10">
        <f>Source!AW35</f>
        <v>1</v>
      </c>
      <c r="I112" s="28">
        <f>ROUND((ROUND((Source!AC35*Source!AW35*Source!I35),2)),2)</f>
        <v>7.31</v>
      </c>
      <c r="J112" s="10">
        <f>IF(Source!BC35&lt;&gt; 0, Source!BC35, 1)</f>
        <v>5.28</v>
      </c>
      <c r="K112" s="28">
        <f>Source!P35</f>
        <v>38.6</v>
      </c>
    </row>
    <row r="113" spans="1:27" ht="14.25" x14ac:dyDescent="0.2">
      <c r="A113" s="23"/>
      <c r="B113" s="24"/>
      <c r="C113" s="24" t="s">
        <v>256</v>
      </c>
      <c r="D113" s="25" t="s">
        <v>257</v>
      </c>
      <c r="E113" s="10">
        <f>Source!DN35</f>
        <v>114</v>
      </c>
      <c r="F113" s="27"/>
      <c r="G113" s="26"/>
      <c r="H113" s="10"/>
      <c r="I113" s="28">
        <f>SUM(Q107:Q112)</f>
        <v>90.45</v>
      </c>
      <c r="J113" s="10">
        <f>Source!BZ35</f>
        <v>77</v>
      </c>
      <c r="K113" s="28">
        <f>SUM(R107:R112)</f>
        <v>1309.2</v>
      </c>
    </row>
    <row r="114" spans="1:27" ht="14.25" x14ac:dyDescent="0.2">
      <c r="A114" s="23"/>
      <c r="B114" s="24"/>
      <c r="C114" s="24" t="s">
        <v>258</v>
      </c>
      <c r="D114" s="25" t="s">
        <v>257</v>
      </c>
      <c r="E114" s="10">
        <f>Source!DO35</f>
        <v>67</v>
      </c>
      <c r="F114" s="27"/>
      <c r="G114" s="26"/>
      <c r="H114" s="10"/>
      <c r="I114" s="28">
        <f>SUM(S107:S113)</f>
        <v>53.16</v>
      </c>
      <c r="J114" s="10">
        <f>Source!CA35</f>
        <v>41</v>
      </c>
      <c r="K114" s="28">
        <f>SUM(T107:T113)</f>
        <v>697.11</v>
      </c>
    </row>
    <row r="115" spans="1:27" ht="14.25" x14ac:dyDescent="0.2">
      <c r="A115" s="23"/>
      <c r="B115" s="24"/>
      <c r="C115" s="24" t="s">
        <v>259</v>
      </c>
      <c r="D115" s="25" t="s">
        <v>257</v>
      </c>
      <c r="E115" s="10">
        <f>175</f>
        <v>175</v>
      </c>
      <c r="F115" s="27"/>
      <c r="G115" s="26"/>
      <c r="H115" s="10"/>
      <c r="I115" s="28">
        <f>SUM(U107:U114)</f>
        <v>24.03</v>
      </c>
      <c r="J115" s="10">
        <f>157</f>
        <v>157</v>
      </c>
      <c r="K115" s="28">
        <f>SUM(V107:V114)</f>
        <v>461.94</v>
      </c>
    </row>
    <row r="116" spans="1:27" ht="14.25" x14ac:dyDescent="0.2">
      <c r="A116" s="23"/>
      <c r="B116" s="24"/>
      <c r="C116" s="24" t="s">
        <v>260</v>
      </c>
      <c r="D116" s="25" t="s">
        <v>261</v>
      </c>
      <c r="E116" s="10">
        <f>Source!AQ35</f>
        <v>55.6</v>
      </c>
      <c r="F116" s="27"/>
      <c r="G116" s="26" t="str">
        <f>Source!DI35</f>
        <v>)*1,2</v>
      </c>
      <c r="H116" s="10">
        <f>Source!AV35</f>
        <v>1.0469999999999999</v>
      </c>
      <c r="I116" s="28">
        <f>Source!U35</f>
        <v>6.2870255999999998</v>
      </c>
      <c r="J116" s="10"/>
      <c r="K116" s="28"/>
    </row>
    <row r="117" spans="1:27" ht="15" x14ac:dyDescent="0.25">
      <c r="A117" s="31"/>
      <c r="B117" s="31"/>
      <c r="C117" s="31"/>
      <c r="D117" s="31"/>
      <c r="E117" s="31"/>
      <c r="F117" s="31"/>
      <c r="G117" s="31"/>
      <c r="H117" s="56">
        <f>I109+I110+I112+I113+I114+I115</f>
        <v>313.43999999999994</v>
      </c>
      <c r="I117" s="56"/>
      <c r="J117" s="56">
        <f>K109+K110+K112+K113+K114+K115</f>
        <v>4795.0599999999995</v>
      </c>
      <c r="K117" s="56"/>
      <c r="O117" s="30">
        <f>I109+I110+I112+I113+I114+I115</f>
        <v>313.43999999999994</v>
      </c>
      <c r="P117" s="30">
        <f>K109+K110+K112+K113+K114+K115</f>
        <v>4795.0599999999995</v>
      </c>
      <c r="X117">
        <f>IF(Source!BI35&lt;=1,I109+I110+I112+I113+I114+I115-0, 0)</f>
        <v>0</v>
      </c>
      <c r="Y117">
        <f>IF(Source!BI35=2,I109+I110+I112+I113+I114+I115-0, 0)</f>
        <v>313.43999999999994</v>
      </c>
      <c r="Z117">
        <f>IF(Source!BI35=3,I109+I110+I112+I113+I114+I115-0, 0)</f>
        <v>0</v>
      </c>
      <c r="AA117">
        <f>IF(Source!BI35=4,I109+I110+I112+I113+I114+I115,0)</f>
        <v>0</v>
      </c>
    </row>
    <row r="118" spans="1:27" ht="114" x14ac:dyDescent="0.2">
      <c r="A118" s="23" t="str">
        <f>Source!E36</f>
        <v>9</v>
      </c>
      <c r="B118" s="24" t="str">
        <f>Source!F36</f>
        <v>4.8-241-6</v>
      </c>
      <c r="C118" s="24" t="s">
        <v>72</v>
      </c>
      <c r="D118" s="25" t="str">
        <f>Source!H36</f>
        <v>100 жил</v>
      </c>
      <c r="E118" s="10">
        <f>Source!I36</f>
        <v>0.32</v>
      </c>
      <c r="F118" s="27"/>
      <c r="G118" s="26"/>
      <c r="H118" s="10"/>
      <c r="I118" s="28"/>
      <c r="J118" s="10"/>
      <c r="K118" s="28"/>
      <c r="Q118">
        <f>ROUND((Source!DN36/100)*ROUND((ROUND((Source!AF36*Source!AV36*Source!I36),2)),2), 2)</f>
        <v>374.36</v>
      </c>
      <c r="R118">
        <f>Source!X36</f>
        <v>6275.99</v>
      </c>
      <c r="S118">
        <f>ROUND((Source!DO36/100)*ROUND((ROUND((Source!AF36*Source!AV36*Source!I36),2)),2), 2)</f>
        <v>220.02</v>
      </c>
      <c r="T118">
        <f>Source!Y36</f>
        <v>3341.76</v>
      </c>
      <c r="U118">
        <f>ROUND((175/100)*ROUND((ROUND((Source!AE36*Source!AV36*Source!I36),2)),2), 2)</f>
        <v>1.73</v>
      </c>
      <c r="V118">
        <f>ROUND((157/100)*ROUND(ROUND((ROUND((Source!AE36*Source!AV36*Source!I36),2)*Source!BS36),2), 2), 2)</f>
        <v>38.57</v>
      </c>
    </row>
    <row r="119" spans="1:27" x14ac:dyDescent="0.2">
      <c r="C119" s="32" t="str">
        <f>"Объем: "&amp;Source!I36&amp;"=(32)/"&amp;"100"</f>
        <v>Объем: 0,32=(32)/100</v>
      </c>
    </row>
    <row r="120" spans="1:27" ht="14.25" x14ac:dyDescent="0.2">
      <c r="A120" s="23"/>
      <c r="B120" s="24"/>
      <c r="C120" s="24" t="s">
        <v>252</v>
      </c>
      <c r="D120" s="25"/>
      <c r="E120" s="10"/>
      <c r="F120" s="27">
        <f>Source!AO36</f>
        <v>816.79</v>
      </c>
      <c r="G120" s="26" t="str">
        <f>Source!DG36</f>
        <v>)*1,2</v>
      </c>
      <c r="H120" s="10">
        <f>Source!AV36</f>
        <v>1.0469999999999999</v>
      </c>
      <c r="I120" s="28">
        <f>ROUND((ROUND((Source!AF36*Source!AV36*Source!I36),2)),2)</f>
        <v>328.39</v>
      </c>
      <c r="J120" s="10">
        <f>IF(Source!BA36&lt;&gt; 0, Source!BA36, 1)</f>
        <v>24.82</v>
      </c>
      <c r="K120" s="28">
        <f>Source!S36</f>
        <v>8150.64</v>
      </c>
      <c r="W120">
        <f>I120</f>
        <v>328.39</v>
      </c>
    </row>
    <row r="121" spans="1:27" ht="14.25" x14ac:dyDescent="0.2">
      <c r="A121" s="23"/>
      <c r="B121" s="24"/>
      <c r="C121" s="24" t="s">
        <v>253</v>
      </c>
      <c r="D121" s="25"/>
      <c r="E121" s="10"/>
      <c r="F121" s="27">
        <f>Source!AM36</f>
        <v>23.34</v>
      </c>
      <c r="G121" s="26" t="str">
        <f>Source!DE36</f>
        <v>)*1,2</v>
      </c>
      <c r="H121" s="10">
        <f>Source!AV36</f>
        <v>1.0469999999999999</v>
      </c>
      <c r="I121" s="28">
        <f>(ROUND((ROUND((((Source!ET36*1.2))*Source!AV36*Source!I36),2)),2)+ROUND((ROUND(((Source!AE36-((Source!EU36*1.2)))*Source!AV36*Source!I36),2)),2))</f>
        <v>9.3800000000000008</v>
      </c>
      <c r="J121" s="10">
        <f>IF(Source!BB36&lt;&gt; 0, Source!BB36, 1)</f>
        <v>7.69</v>
      </c>
      <c r="K121" s="28">
        <f>Source!Q36</f>
        <v>72.13</v>
      </c>
    </row>
    <row r="122" spans="1:27" ht="14.25" x14ac:dyDescent="0.2">
      <c r="A122" s="23"/>
      <c r="B122" s="24"/>
      <c r="C122" s="24" t="s">
        <v>254</v>
      </c>
      <c r="D122" s="25"/>
      <c r="E122" s="10"/>
      <c r="F122" s="27">
        <f>Source!AN36</f>
        <v>2.46</v>
      </c>
      <c r="G122" s="26" t="str">
        <f>Source!DF36</f>
        <v>)*1,2</v>
      </c>
      <c r="H122" s="10">
        <f>Source!AV36</f>
        <v>1.0469999999999999</v>
      </c>
      <c r="I122" s="29">
        <f>ROUND((ROUND((Source!AE36*Source!AV36*Source!I36),2)),2)</f>
        <v>0.99</v>
      </c>
      <c r="J122" s="10">
        <f>IF(Source!BS36&lt;&gt; 0, Source!BS36, 1)</f>
        <v>24.82</v>
      </c>
      <c r="K122" s="29">
        <f>Source!R36</f>
        <v>24.57</v>
      </c>
      <c r="W122">
        <f>I122</f>
        <v>0.99</v>
      </c>
    </row>
    <row r="123" spans="1:27" ht="14.25" x14ac:dyDescent="0.2">
      <c r="A123" s="23"/>
      <c r="B123" s="24"/>
      <c r="C123" s="24" t="s">
        <v>255</v>
      </c>
      <c r="D123" s="25"/>
      <c r="E123" s="10"/>
      <c r="F123" s="27">
        <f>Source!AL36</f>
        <v>529.9</v>
      </c>
      <c r="G123" s="26" t="str">
        <f>Source!DD36</f>
        <v/>
      </c>
      <c r="H123" s="10">
        <f>Source!AW36</f>
        <v>1</v>
      </c>
      <c r="I123" s="28">
        <f>ROUND((ROUND((Source!AC36*Source!AW36*Source!I36),2)),2)</f>
        <v>169.57</v>
      </c>
      <c r="J123" s="10">
        <f>IF(Source!BC36&lt;&gt; 0, Source!BC36, 1)</f>
        <v>5.29</v>
      </c>
      <c r="K123" s="28">
        <f>Source!P36</f>
        <v>897.03</v>
      </c>
    </row>
    <row r="124" spans="1:27" ht="14.25" x14ac:dyDescent="0.2">
      <c r="A124" s="23"/>
      <c r="B124" s="24"/>
      <c r="C124" s="24" t="s">
        <v>256</v>
      </c>
      <c r="D124" s="25" t="s">
        <v>257</v>
      </c>
      <c r="E124" s="10">
        <f>Source!DN36</f>
        <v>114</v>
      </c>
      <c r="F124" s="27"/>
      <c r="G124" s="26"/>
      <c r="H124" s="10"/>
      <c r="I124" s="28">
        <f>SUM(Q118:Q123)</f>
        <v>374.36</v>
      </c>
      <c r="J124" s="10">
        <f>Source!BZ36</f>
        <v>77</v>
      </c>
      <c r="K124" s="28">
        <f>SUM(R118:R123)</f>
        <v>6275.99</v>
      </c>
    </row>
    <row r="125" spans="1:27" ht="14.25" x14ac:dyDescent="0.2">
      <c r="A125" s="23"/>
      <c r="B125" s="24"/>
      <c r="C125" s="24" t="s">
        <v>258</v>
      </c>
      <c r="D125" s="25" t="s">
        <v>257</v>
      </c>
      <c r="E125" s="10">
        <f>Source!DO36</f>
        <v>67</v>
      </c>
      <c r="F125" s="27"/>
      <c r="G125" s="26"/>
      <c r="H125" s="10"/>
      <c r="I125" s="28">
        <f>SUM(S118:S124)</f>
        <v>220.02</v>
      </c>
      <c r="J125" s="10">
        <f>Source!CA36</f>
        <v>41</v>
      </c>
      <c r="K125" s="28">
        <f>SUM(T118:T124)</f>
        <v>3341.76</v>
      </c>
    </row>
    <row r="126" spans="1:27" ht="14.25" x14ac:dyDescent="0.2">
      <c r="A126" s="23"/>
      <c r="B126" s="24"/>
      <c r="C126" s="24" t="s">
        <v>259</v>
      </c>
      <c r="D126" s="25" t="s">
        <v>257</v>
      </c>
      <c r="E126" s="10">
        <f>175</f>
        <v>175</v>
      </c>
      <c r="F126" s="27"/>
      <c r="G126" s="26"/>
      <c r="H126" s="10"/>
      <c r="I126" s="28">
        <f>SUM(U118:U125)</f>
        <v>1.73</v>
      </c>
      <c r="J126" s="10">
        <f>157</f>
        <v>157</v>
      </c>
      <c r="K126" s="28">
        <f>SUM(V118:V125)</f>
        <v>38.57</v>
      </c>
    </row>
    <row r="127" spans="1:27" ht="14.25" x14ac:dyDescent="0.2">
      <c r="A127" s="23"/>
      <c r="B127" s="24"/>
      <c r="C127" s="24" t="s">
        <v>260</v>
      </c>
      <c r="D127" s="25" t="s">
        <v>261</v>
      </c>
      <c r="E127" s="10">
        <f>Source!AQ36</f>
        <v>62.83</v>
      </c>
      <c r="F127" s="27"/>
      <c r="G127" s="26" t="str">
        <f>Source!DI36</f>
        <v>)*1,2</v>
      </c>
      <c r="H127" s="10">
        <f>Source!AV36</f>
        <v>1.0469999999999999</v>
      </c>
      <c r="I127" s="28">
        <f>Source!U36</f>
        <v>25.260675840000001</v>
      </c>
      <c r="J127" s="10"/>
      <c r="K127" s="28"/>
    </row>
    <row r="128" spans="1:27" ht="15" x14ac:dyDescent="0.25">
      <c r="A128" s="31"/>
      <c r="B128" s="31"/>
      <c r="C128" s="31"/>
      <c r="D128" s="31"/>
      <c r="E128" s="31"/>
      <c r="F128" s="31"/>
      <c r="G128" s="31"/>
      <c r="H128" s="56">
        <f>I120+I121+I123+I124+I125+I126</f>
        <v>1103.45</v>
      </c>
      <c r="I128" s="56"/>
      <c r="J128" s="56">
        <f>K120+K121+K123+K124+K125+K126</f>
        <v>18776.120000000003</v>
      </c>
      <c r="K128" s="56"/>
      <c r="O128" s="30">
        <f>I120+I121+I123+I124+I125+I126</f>
        <v>1103.45</v>
      </c>
      <c r="P128" s="30">
        <f>K120+K121+K123+K124+K125+K126</f>
        <v>18776.120000000003</v>
      </c>
      <c r="X128">
        <f>IF(Source!BI36&lt;=1,I120+I121+I123+I124+I125+I126-0, 0)</f>
        <v>0</v>
      </c>
      <c r="Y128">
        <f>IF(Source!BI36=2,I120+I121+I123+I124+I125+I126-0, 0)</f>
        <v>1103.45</v>
      </c>
      <c r="Z128">
        <f>IF(Source!BI36=3,I120+I121+I123+I124+I125+I126-0, 0)</f>
        <v>0</v>
      </c>
      <c r="AA128">
        <f>IF(Source!BI36=4,I120+I121+I123+I124+I125+I126,0)</f>
        <v>0</v>
      </c>
    </row>
    <row r="129" spans="1:27" ht="42.75" x14ac:dyDescent="0.2">
      <c r="A129" s="23" t="str">
        <f>Source!E37</f>
        <v>10</v>
      </c>
      <c r="B129" s="24" t="str">
        <f>Source!F37</f>
        <v>4.8-76-1</v>
      </c>
      <c r="C129" s="24" t="s">
        <v>77</v>
      </c>
      <c r="D129" s="25" t="str">
        <f>Source!H37</f>
        <v>100 шт.</v>
      </c>
      <c r="E129" s="10">
        <f>Source!I37</f>
        <v>0.15</v>
      </c>
      <c r="F129" s="27"/>
      <c r="G129" s="26"/>
      <c r="H129" s="10"/>
      <c r="I129" s="28"/>
      <c r="J129" s="10"/>
      <c r="K129" s="28"/>
      <c r="Q129">
        <f>ROUND((Source!DN37/100)*ROUND((ROUND((Source!AF37*Source!AV37*Source!I37),2)),2), 2)</f>
        <v>32.130000000000003</v>
      </c>
      <c r="R129">
        <f>Source!X37</f>
        <v>538.55999999999995</v>
      </c>
      <c r="S129">
        <f>ROUND((Source!DO37/100)*ROUND((ROUND((Source!AF37*Source!AV37*Source!I37),2)),2), 2)</f>
        <v>18.88</v>
      </c>
      <c r="T129">
        <f>Source!Y37</f>
        <v>286.77</v>
      </c>
      <c r="U129">
        <f>ROUND((175/100)*ROUND((ROUND((Source!AE37*Source!AV37*Source!I37),2)),2), 2)</f>
        <v>0</v>
      </c>
      <c r="V129">
        <f>ROUND((157/100)*ROUND(ROUND((ROUND((Source!AE37*Source!AV37*Source!I37),2)*Source!BS37),2), 2), 2)</f>
        <v>0</v>
      </c>
    </row>
    <row r="130" spans="1:27" x14ac:dyDescent="0.2">
      <c r="C130" s="32" t="str">
        <f>"Объем: "&amp;Source!I37&amp;"=(15)/"&amp;"100"</f>
        <v>Объем: 0,15=(15)/100</v>
      </c>
    </row>
    <row r="131" spans="1:27" ht="14.25" x14ac:dyDescent="0.2">
      <c r="A131" s="23"/>
      <c r="B131" s="24"/>
      <c r="C131" s="24" t="s">
        <v>252</v>
      </c>
      <c r="D131" s="25"/>
      <c r="E131" s="10"/>
      <c r="F131" s="27">
        <f>Source!AO37</f>
        <v>146.72999999999999</v>
      </c>
      <c r="G131" s="26" t="str">
        <f>Source!DG37</f>
        <v>)*1,2</v>
      </c>
      <c r="H131" s="10">
        <f>Source!AV37</f>
        <v>1.0669999999999999</v>
      </c>
      <c r="I131" s="28">
        <f>ROUND((ROUND((Source!AF37*Source!AV37*Source!I37),2)),2)</f>
        <v>28.18</v>
      </c>
      <c r="J131" s="10">
        <f>IF(Source!BA37&lt;&gt; 0, Source!BA37, 1)</f>
        <v>24.82</v>
      </c>
      <c r="K131" s="28">
        <f>Source!S37</f>
        <v>699.43</v>
      </c>
      <c r="W131">
        <f>I131</f>
        <v>28.18</v>
      </c>
    </row>
    <row r="132" spans="1:27" ht="14.25" x14ac:dyDescent="0.2">
      <c r="A132" s="23"/>
      <c r="B132" s="24"/>
      <c r="C132" s="24" t="s">
        <v>255</v>
      </c>
      <c r="D132" s="25"/>
      <c r="E132" s="10"/>
      <c r="F132" s="27">
        <f>Source!AL37</f>
        <v>1.26</v>
      </c>
      <c r="G132" s="26" t="str">
        <f>Source!DD37</f>
        <v/>
      </c>
      <c r="H132" s="10">
        <f>Source!AW37</f>
        <v>1.081</v>
      </c>
      <c r="I132" s="28">
        <f>ROUND((ROUND((Source!AC37*Source!AW37*Source!I37),2)),2)</f>
        <v>0.2</v>
      </c>
      <c r="J132" s="10">
        <f>IF(Source!BC37&lt;&gt; 0, Source!BC37, 1)</f>
        <v>5.29</v>
      </c>
      <c r="K132" s="28">
        <f>Source!P37</f>
        <v>1.06</v>
      </c>
    </row>
    <row r="133" spans="1:27" ht="14.25" x14ac:dyDescent="0.2">
      <c r="A133" s="23"/>
      <c r="B133" s="24"/>
      <c r="C133" s="24" t="s">
        <v>256</v>
      </c>
      <c r="D133" s="25" t="s">
        <v>257</v>
      </c>
      <c r="E133" s="10">
        <f>Source!DN37</f>
        <v>114</v>
      </c>
      <c r="F133" s="27"/>
      <c r="G133" s="26"/>
      <c r="H133" s="10"/>
      <c r="I133" s="28">
        <f>SUM(Q129:Q132)</f>
        <v>32.130000000000003</v>
      </c>
      <c r="J133" s="10">
        <f>Source!BZ37</f>
        <v>77</v>
      </c>
      <c r="K133" s="28">
        <f>SUM(R129:R132)</f>
        <v>538.55999999999995</v>
      </c>
    </row>
    <row r="134" spans="1:27" ht="14.25" x14ac:dyDescent="0.2">
      <c r="A134" s="23"/>
      <c r="B134" s="24"/>
      <c r="C134" s="24" t="s">
        <v>258</v>
      </c>
      <c r="D134" s="25" t="s">
        <v>257</v>
      </c>
      <c r="E134" s="10">
        <f>Source!DO37</f>
        <v>67</v>
      </c>
      <c r="F134" s="27"/>
      <c r="G134" s="26"/>
      <c r="H134" s="10"/>
      <c r="I134" s="28">
        <f>SUM(S129:S133)</f>
        <v>18.88</v>
      </c>
      <c r="J134" s="10">
        <f>Source!CA37</f>
        <v>41</v>
      </c>
      <c r="K134" s="28">
        <f>SUM(T129:T133)</f>
        <v>286.77</v>
      </c>
    </row>
    <row r="135" spans="1:27" ht="14.25" x14ac:dyDescent="0.2">
      <c r="A135" s="23"/>
      <c r="B135" s="24"/>
      <c r="C135" s="24" t="s">
        <v>260</v>
      </c>
      <c r="D135" s="25" t="s">
        <v>261</v>
      </c>
      <c r="E135" s="10">
        <f>Source!AQ37</f>
        <v>11.9</v>
      </c>
      <c r="F135" s="27"/>
      <c r="G135" s="26" t="str">
        <f>Source!DI37</f>
        <v>)*1,2</v>
      </c>
      <c r="H135" s="10">
        <f>Source!AV37</f>
        <v>1.0669999999999999</v>
      </c>
      <c r="I135" s="28">
        <f>Source!U37</f>
        <v>2.2855139999999996</v>
      </c>
      <c r="J135" s="10"/>
      <c r="K135" s="28"/>
    </row>
    <row r="136" spans="1:27" ht="15" x14ac:dyDescent="0.25">
      <c r="A136" s="31"/>
      <c r="B136" s="31"/>
      <c r="C136" s="31"/>
      <c r="D136" s="31"/>
      <c r="E136" s="31"/>
      <c r="F136" s="31"/>
      <c r="G136" s="31"/>
      <c r="H136" s="56">
        <f>I131+I132+I133+I134</f>
        <v>79.39</v>
      </c>
      <c r="I136" s="56"/>
      <c r="J136" s="56">
        <f>K131+K132+K133+K134</f>
        <v>1525.8199999999997</v>
      </c>
      <c r="K136" s="56"/>
      <c r="O136" s="30">
        <f>I131+I132+I133+I134</f>
        <v>79.39</v>
      </c>
      <c r="P136" s="30">
        <f>K131+K132+K133+K134</f>
        <v>1525.8199999999997</v>
      </c>
      <c r="X136">
        <f>IF(Source!BI37&lt;=1,I131+I132+I133+I134-0, 0)</f>
        <v>0</v>
      </c>
      <c r="Y136">
        <f>IF(Source!BI37=2,I131+I132+I133+I134-0, 0)</f>
        <v>79.39</v>
      </c>
      <c r="Z136">
        <f>IF(Source!BI37=3,I131+I132+I133+I134-0, 0)</f>
        <v>0</v>
      </c>
      <c r="AA136">
        <f>IF(Source!BI37=4,I131+I132+I133+I134,0)</f>
        <v>0</v>
      </c>
    </row>
    <row r="138" spans="1:27" ht="15" x14ac:dyDescent="0.25">
      <c r="A138" s="55" t="str">
        <f>CONCATENATE("Итого по разделу: ",IF(Source!G39&lt;&gt;"Новый раздел", Source!G39, ""))</f>
        <v>Итого по разделу: Электромонтажные работы.</v>
      </c>
      <c r="B138" s="55"/>
      <c r="C138" s="55"/>
      <c r="D138" s="55"/>
      <c r="E138" s="55"/>
      <c r="F138" s="55"/>
      <c r="G138" s="55"/>
      <c r="H138" s="53">
        <f>SUM(O35:O137)</f>
        <v>6893.54</v>
      </c>
      <c r="I138" s="54"/>
      <c r="J138" s="53">
        <f>SUM(P35:P137)</f>
        <v>99324.12</v>
      </c>
      <c r="K138" s="54"/>
    </row>
    <row r="139" spans="1:27" hidden="1" x14ac:dyDescent="0.2">
      <c r="A139" t="s">
        <v>262</v>
      </c>
      <c r="H139">
        <f>SUM(AC35:AC138)</f>
        <v>0</v>
      </c>
      <c r="J139">
        <f>SUM(AD35:AD138)</f>
        <v>0</v>
      </c>
    </row>
    <row r="140" spans="1:27" hidden="1" x14ac:dyDescent="0.2">
      <c r="A140" t="s">
        <v>263</v>
      </c>
      <c r="H140">
        <f>SUM(AE35:AE139)</f>
        <v>0</v>
      </c>
      <c r="J140">
        <f>SUM(AF35:AF139)</f>
        <v>0</v>
      </c>
    </row>
    <row r="142" spans="1:27" ht="16.5" x14ac:dyDescent="0.25">
      <c r="A142" s="57" t="str">
        <f>CONCATENATE("Раздел: ",IF(Source!G69&lt;&gt;"Новый раздел", Source!G69, ""))</f>
        <v>Раздел: Пусконаладочные работы.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27" ht="28.5" x14ac:dyDescent="0.2">
      <c r="A143" s="23" t="str">
        <f>Source!E73</f>
        <v>11</v>
      </c>
      <c r="B143" s="24" t="str">
        <f>Source!F73</f>
        <v>5.1-23-1</v>
      </c>
      <c r="C143" s="24" t="s">
        <v>137</v>
      </c>
      <c r="D143" s="25" t="str">
        <f>Source!H73</f>
        <v>шт.</v>
      </c>
      <c r="E143" s="10">
        <f>Source!I73</f>
        <v>7</v>
      </c>
      <c r="F143" s="27"/>
      <c r="G143" s="26"/>
      <c r="H143" s="10"/>
      <c r="I143" s="28"/>
      <c r="J143" s="10"/>
      <c r="K143" s="28"/>
      <c r="Q143">
        <f>ROUND((Source!DN73/100)*ROUND((ROUND((Source!AF73*Source!AV73*Source!I73),2)),2), 2)</f>
        <v>472.89</v>
      </c>
      <c r="R143">
        <f>Source!X73</f>
        <v>10641.67</v>
      </c>
      <c r="S143">
        <f>ROUND((Source!DO73/100)*ROUND((ROUND((Source!AF73*Source!AV73*Source!I73),2)),2), 2)</f>
        <v>441.36</v>
      </c>
      <c r="T143">
        <f>Source!Y73</f>
        <v>6416.3</v>
      </c>
      <c r="U143">
        <f>ROUND((175/100)*ROUND((ROUND((Source!AE73*Source!AV73*Source!I73),2)),2), 2)</f>
        <v>0</v>
      </c>
      <c r="V143">
        <f>ROUND((157/100)*ROUND(ROUND((ROUND((Source!AE73*Source!AV73*Source!I73),2)*Source!BS73),2), 2), 2)</f>
        <v>0</v>
      </c>
    </row>
    <row r="144" spans="1:27" ht="28.5" x14ac:dyDescent="0.2">
      <c r="A144" s="23"/>
      <c r="B144" s="24"/>
      <c r="C144" s="24" t="s">
        <v>252</v>
      </c>
      <c r="D144" s="25"/>
      <c r="E144" s="10"/>
      <c r="F144" s="27">
        <f>Source!AO73</f>
        <v>86.61</v>
      </c>
      <c r="G144" s="26" t="str">
        <f>Source!DG73</f>
        <v>)*1,3)*0,8</v>
      </c>
      <c r="H144" s="10">
        <f>Source!AV73</f>
        <v>1</v>
      </c>
      <c r="I144" s="28">
        <f>ROUND((ROUND((Source!AF73*Source!AV73*Source!I73),2)),2)</f>
        <v>630.52</v>
      </c>
      <c r="J144" s="10">
        <f>IF(Source!BA73&lt;&gt; 0, Source!BA73, 1)</f>
        <v>24.82</v>
      </c>
      <c r="K144" s="28">
        <f>Source!S73</f>
        <v>15649.51</v>
      </c>
      <c r="W144">
        <f>I144</f>
        <v>630.52</v>
      </c>
    </row>
    <row r="145" spans="1:27" ht="14.25" x14ac:dyDescent="0.2">
      <c r="A145" s="23"/>
      <c r="B145" s="24"/>
      <c r="C145" s="24" t="s">
        <v>256</v>
      </c>
      <c r="D145" s="25" t="s">
        <v>257</v>
      </c>
      <c r="E145" s="10">
        <f>Source!DN73</f>
        <v>75</v>
      </c>
      <c r="F145" s="27"/>
      <c r="G145" s="26"/>
      <c r="H145" s="10"/>
      <c r="I145" s="28">
        <f>SUM(Q143:Q144)</f>
        <v>472.89</v>
      </c>
      <c r="J145" s="10">
        <f>Source!BZ73</f>
        <v>68</v>
      </c>
      <c r="K145" s="28">
        <f>SUM(R143:R144)</f>
        <v>10641.67</v>
      </c>
    </row>
    <row r="146" spans="1:27" ht="14.25" x14ac:dyDescent="0.2">
      <c r="A146" s="23"/>
      <c r="B146" s="24"/>
      <c r="C146" s="24" t="s">
        <v>258</v>
      </c>
      <c r="D146" s="25" t="s">
        <v>257</v>
      </c>
      <c r="E146" s="10">
        <f>Source!DO73</f>
        <v>70</v>
      </c>
      <c r="F146" s="27"/>
      <c r="G146" s="26"/>
      <c r="H146" s="10"/>
      <c r="I146" s="28">
        <f>SUM(S143:S145)</f>
        <v>441.36</v>
      </c>
      <c r="J146" s="10">
        <f>Source!CA73</f>
        <v>41</v>
      </c>
      <c r="K146" s="28">
        <f>SUM(T143:T145)</f>
        <v>6416.3</v>
      </c>
    </row>
    <row r="147" spans="1:27" ht="28.5" x14ac:dyDescent="0.2">
      <c r="A147" s="23"/>
      <c r="B147" s="24"/>
      <c r="C147" s="24" t="s">
        <v>260</v>
      </c>
      <c r="D147" s="25" t="s">
        <v>261</v>
      </c>
      <c r="E147" s="10">
        <f>Source!AQ73</f>
        <v>5.4</v>
      </c>
      <c r="F147" s="27"/>
      <c r="G147" s="26" t="str">
        <f>Source!DI73</f>
        <v>)*1,3)*0,8</v>
      </c>
      <c r="H147" s="10">
        <f>Source!AV73</f>
        <v>1</v>
      </c>
      <c r="I147" s="28">
        <f>Source!U73</f>
        <v>39.312000000000005</v>
      </c>
      <c r="J147" s="10"/>
      <c r="K147" s="28"/>
    </row>
    <row r="148" spans="1:27" ht="15" x14ac:dyDescent="0.25">
      <c r="A148" s="31"/>
      <c r="B148" s="31"/>
      <c r="C148" s="31"/>
      <c r="D148" s="31"/>
      <c r="E148" s="31"/>
      <c r="F148" s="31"/>
      <c r="G148" s="31"/>
      <c r="H148" s="56">
        <f>I144+I145+I146</f>
        <v>1544.77</v>
      </c>
      <c r="I148" s="56"/>
      <c r="J148" s="56">
        <f>K144+K145+K146</f>
        <v>32707.48</v>
      </c>
      <c r="K148" s="56"/>
      <c r="O148" s="30">
        <f>I144+I145+I146</f>
        <v>1544.77</v>
      </c>
      <c r="P148" s="30">
        <f>K144+K145+K146</f>
        <v>32707.48</v>
      </c>
      <c r="X148">
        <f>IF(Source!BI73&lt;=1,I144+I145+I146-0, 0)</f>
        <v>0</v>
      </c>
      <c r="Y148">
        <f>IF(Source!BI73=2,I144+I145+I146-0, 0)</f>
        <v>0</v>
      </c>
      <c r="Z148">
        <f>IF(Source!BI73=3,I144+I145+I146-0, 0)</f>
        <v>0</v>
      </c>
      <c r="AA148">
        <f>IF(Source!BI73=4,I144+I145+I146,0)</f>
        <v>1544.77</v>
      </c>
    </row>
    <row r="149" spans="1:27" ht="71.25" x14ac:dyDescent="0.2">
      <c r="A149" s="23" t="str">
        <f>Source!E74</f>
        <v>12</v>
      </c>
      <c r="B149" s="24" t="str">
        <f>Source!F74</f>
        <v>5.1-20-7</v>
      </c>
      <c r="C149" s="24" t="s">
        <v>146</v>
      </c>
      <c r="D149" s="25" t="str">
        <f>Source!H74</f>
        <v>шт.</v>
      </c>
      <c r="E149" s="10">
        <f>Source!I74</f>
        <v>1</v>
      </c>
      <c r="F149" s="27"/>
      <c r="G149" s="26"/>
      <c r="H149" s="10"/>
      <c r="I149" s="28"/>
      <c r="J149" s="10"/>
      <c r="K149" s="28"/>
      <c r="Q149">
        <f>ROUND((Source!DN74/100)*ROUND((ROUND((Source!AF74*Source!AV74*Source!I74),2)),2), 2)</f>
        <v>43.18</v>
      </c>
      <c r="R149">
        <f>Source!X74</f>
        <v>971.65</v>
      </c>
      <c r="S149">
        <f>ROUND((Source!DO74/100)*ROUND((ROUND((Source!AF74*Source!AV74*Source!I74),2)),2), 2)</f>
        <v>40.299999999999997</v>
      </c>
      <c r="T149">
        <f>Source!Y74</f>
        <v>585.84</v>
      </c>
      <c r="U149">
        <f>ROUND((175/100)*ROUND((ROUND((Source!AE74*Source!AV74*Source!I74),2)),2), 2)</f>
        <v>0</v>
      </c>
      <c r="V149">
        <f>ROUND((157/100)*ROUND(ROUND((ROUND((Source!AE74*Source!AV74*Source!I74),2)*Source!BS74),2), 2), 2)</f>
        <v>0</v>
      </c>
    </row>
    <row r="150" spans="1:27" ht="28.5" x14ac:dyDescent="0.2">
      <c r="A150" s="23"/>
      <c r="B150" s="24"/>
      <c r="C150" s="24" t="s">
        <v>252</v>
      </c>
      <c r="D150" s="25"/>
      <c r="E150" s="10"/>
      <c r="F150" s="27">
        <f>Source!AO74</f>
        <v>55.36</v>
      </c>
      <c r="G150" s="26" t="str">
        <f>Source!DG74</f>
        <v>)*1,3)*0,8</v>
      </c>
      <c r="H150" s="10">
        <f>Source!AV74</f>
        <v>1</v>
      </c>
      <c r="I150" s="28">
        <f>ROUND((ROUND((Source!AF74*Source!AV74*Source!I74),2)),2)</f>
        <v>57.57</v>
      </c>
      <c r="J150" s="10">
        <f>IF(Source!BA74&lt;&gt; 0, Source!BA74, 1)</f>
        <v>24.82</v>
      </c>
      <c r="K150" s="28">
        <f>Source!S74</f>
        <v>1428.89</v>
      </c>
      <c r="W150">
        <f>I150</f>
        <v>57.57</v>
      </c>
    </row>
    <row r="151" spans="1:27" ht="14.25" x14ac:dyDescent="0.2">
      <c r="A151" s="23"/>
      <c r="B151" s="24"/>
      <c r="C151" s="24" t="s">
        <v>256</v>
      </c>
      <c r="D151" s="25" t="s">
        <v>257</v>
      </c>
      <c r="E151" s="10">
        <f>Source!DN74</f>
        <v>75</v>
      </c>
      <c r="F151" s="27"/>
      <c r="G151" s="26"/>
      <c r="H151" s="10"/>
      <c r="I151" s="28">
        <f>SUM(Q149:Q150)</f>
        <v>43.18</v>
      </c>
      <c r="J151" s="10">
        <f>Source!BZ74</f>
        <v>68</v>
      </c>
      <c r="K151" s="28">
        <f>SUM(R149:R150)</f>
        <v>971.65</v>
      </c>
    </row>
    <row r="152" spans="1:27" ht="14.25" x14ac:dyDescent="0.2">
      <c r="A152" s="23"/>
      <c r="B152" s="24"/>
      <c r="C152" s="24" t="s">
        <v>258</v>
      </c>
      <c r="D152" s="25" t="s">
        <v>257</v>
      </c>
      <c r="E152" s="10">
        <f>Source!DO74</f>
        <v>70</v>
      </c>
      <c r="F152" s="27"/>
      <c r="G152" s="26"/>
      <c r="H152" s="10"/>
      <c r="I152" s="28">
        <f>SUM(S149:S151)</f>
        <v>40.299999999999997</v>
      </c>
      <c r="J152" s="10">
        <f>Source!CA74</f>
        <v>41</v>
      </c>
      <c r="K152" s="28">
        <f>SUM(T149:T151)</f>
        <v>585.84</v>
      </c>
    </row>
    <row r="153" spans="1:27" ht="28.5" x14ac:dyDescent="0.2">
      <c r="A153" s="23"/>
      <c r="B153" s="24"/>
      <c r="C153" s="24" t="s">
        <v>260</v>
      </c>
      <c r="D153" s="25" t="s">
        <v>261</v>
      </c>
      <c r="E153" s="10">
        <f>Source!AQ74</f>
        <v>4.5</v>
      </c>
      <c r="F153" s="27"/>
      <c r="G153" s="26" t="str">
        <f>Source!DI74</f>
        <v>)*1,3)*0,8</v>
      </c>
      <c r="H153" s="10">
        <f>Source!AV74</f>
        <v>1</v>
      </c>
      <c r="I153" s="28">
        <f>Source!U74</f>
        <v>4.6800000000000006</v>
      </c>
      <c r="J153" s="10"/>
      <c r="K153" s="28"/>
    </row>
    <row r="154" spans="1:27" ht="15" x14ac:dyDescent="0.25">
      <c r="A154" s="31"/>
      <c r="B154" s="31"/>
      <c r="C154" s="31"/>
      <c r="D154" s="31"/>
      <c r="E154" s="31"/>
      <c r="F154" s="31"/>
      <c r="G154" s="31"/>
      <c r="H154" s="56">
        <f>I150+I151+I152</f>
        <v>141.05000000000001</v>
      </c>
      <c r="I154" s="56"/>
      <c r="J154" s="56">
        <f>K150+K151+K152</f>
        <v>2986.38</v>
      </c>
      <c r="K154" s="56"/>
      <c r="O154" s="30">
        <f>I150+I151+I152</f>
        <v>141.05000000000001</v>
      </c>
      <c r="P154" s="30">
        <f>K150+K151+K152</f>
        <v>2986.38</v>
      </c>
      <c r="X154">
        <f>IF(Source!BI74&lt;=1,I150+I151+I152-0, 0)</f>
        <v>0</v>
      </c>
      <c r="Y154">
        <f>IF(Source!BI74=2,I150+I151+I152-0, 0)</f>
        <v>0</v>
      </c>
      <c r="Z154">
        <f>IF(Source!BI74=3,I150+I151+I152-0, 0)</f>
        <v>0</v>
      </c>
      <c r="AA154">
        <f>IF(Source!BI74=4,I150+I151+I152,0)</f>
        <v>141.05000000000001</v>
      </c>
    </row>
    <row r="155" spans="1:27" ht="28.5" x14ac:dyDescent="0.2">
      <c r="A155" s="23" t="str">
        <f>Source!E75</f>
        <v>13</v>
      </c>
      <c r="B155" s="24" t="str">
        <f>Source!F75</f>
        <v>5.1-168-1</v>
      </c>
      <c r="C155" s="24" t="s">
        <v>150</v>
      </c>
      <c r="D155" s="25" t="str">
        <f>Source!H75</f>
        <v>испытание</v>
      </c>
      <c r="E155" s="10">
        <f>Source!I75</f>
        <v>3</v>
      </c>
      <c r="F155" s="27"/>
      <c r="G155" s="26"/>
      <c r="H155" s="10"/>
      <c r="I155" s="28"/>
      <c r="J155" s="10"/>
      <c r="K155" s="28"/>
      <c r="Q155">
        <f>ROUND((Source!DN75/100)*ROUND((ROUND((Source!AF75*Source!AV75*Source!I75),2)),2), 2)</f>
        <v>284.70999999999998</v>
      </c>
      <c r="R155">
        <f>Source!X75</f>
        <v>5531.83</v>
      </c>
      <c r="S155">
        <f>ROUND((Source!DO75/100)*ROUND((ROUND((Source!AF75*Source!AV75*Source!I75),2)),2), 2)</f>
        <v>265.73</v>
      </c>
      <c r="T155">
        <f>Source!Y75</f>
        <v>3335.37</v>
      </c>
      <c r="U155">
        <f>ROUND((175/100)*ROUND((ROUND((Source!AE75*Source!AV75*Source!I75),2)),2), 2)</f>
        <v>0</v>
      </c>
      <c r="V155">
        <f>ROUND((157/100)*ROUND(ROUND((ROUND((Source!AE75*Source!AV75*Source!I75),2)*Source!BS75),2), 2), 2)</f>
        <v>0</v>
      </c>
    </row>
    <row r="156" spans="1:27" ht="28.5" x14ac:dyDescent="0.2">
      <c r="A156" s="23"/>
      <c r="B156" s="24"/>
      <c r="C156" s="24" t="s">
        <v>252</v>
      </c>
      <c r="D156" s="25"/>
      <c r="E156" s="10"/>
      <c r="F156" s="27">
        <f>Source!AO75</f>
        <v>121.67</v>
      </c>
      <c r="G156" s="26" t="str">
        <f>Source!DG75</f>
        <v>)*1,3)*0,8</v>
      </c>
      <c r="H156" s="10">
        <f>Source!AV75</f>
        <v>1</v>
      </c>
      <c r="I156" s="28">
        <f>ROUND((ROUND((Source!AF75*Source!AV75*Source!I75),2)),2)</f>
        <v>379.61</v>
      </c>
      <c r="J156" s="10">
        <f>IF(Source!BA75&lt;&gt; 0, Source!BA75, 1)</f>
        <v>21.43</v>
      </c>
      <c r="K156" s="28">
        <f>Source!S75</f>
        <v>8135.04</v>
      </c>
      <c r="W156">
        <f>I156</f>
        <v>379.61</v>
      </c>
    </row>
    <row r="157" spans="1:27" ht="14.25" x14ac:dyDescent="0.2">
      <c r="A157" s="23"/>
      <c r="B157" s="24"/>
      <c r="C157" s="24" t="s">
        <v>256</v>
      </c>
      <c r="D157" s="25" t="s">
        <v>257</v>
      </c>
      <c r="E157" s="10">
        <f>Source!DN75</f>
        <v>75</v>
      </c>
      <c r="F157" s="27"/>
      <c r="G157" s="26"/>
      <c r="H157" s="10"/>
      <c r="I157" s="28">
        <f>SUM(Q155:Q156)</f>
        <v>284.70999999999998</v>
      </c>
      <c r="J157" s="10">
        <f>Source!BZ75</f>
        <v>68</v>
      </c>
      <c r="K157" s="28">
        <f>SUM(R155:R156)</f>
        <v>5531.83</v>
      </c>
    </row>
    <row r="158" spans="1:27" ht="14.25" x14ac:dyDescent="0.2">
      <c r="A158" s="23"/>
      <c r="B158" s="24"/>
      <c r="C158" s="24" t="s">
        <v>258</v>
      </c>
      <c r="D158" s="25" t="s">
        <v>257</v>
      </c>
      <c r="E158" s="10">
        <f>Source!DO75</f>
        <v>70</v>
      </c>
      <c r="F158" s="27"/>
      <c r="G158" s="26"/>
      <c r="H158" s="10"/>
      <c r="I158" s="28">
        <f>SUM(S155:S157)</f>
        <v>265.73</v>
      </c>
      <c r="J158" s="10">
        <f>Source!CA75</f>
        <v>41</v>
      </c>
      <c r="K158" s="28">
        <f>SUM(T155:T157)</f>
        <v>3335.37</v>
      </c>
    </row>
    <row r="159" spans="1:27" ht="28.5" x14ac:dyDescent="0.2">
      <c r="A159" s="23"/>
      <c r="B159" s="24"/>
      <c r="C159" s="24" t="s">
        <v>260</v>
      </c>
      <c r="D159" s="25" t="s">
        <v>261</v>
      </c>
      <c r="E159" s="10">
        <f>Source!AQ75</f>
        <v>8.1</v>
      </c>
      <c r="F159" s="27"/>
      <c r="G159" s="26" t="str">
        <f>Source!DI75</f>
        <v>)*1,3)*0,8</v>
      </c>
      <c r="H159" s="10">
        <f>Source!AV75</f>
        <v>1</v>
      </c>
      <c r="I159" s="28">
        <f>Source!U75</f>
        <v>25.271999999999998</v>
      </c>
      <c r="J159" s="10"/>
      <c r="K159" s="28"/>
    </row>
    <row r="160" spans="1:27" ht="15" x14ac:dyDescent="0.25">
      <c r="A160" s="31"/>
      <c r="B160" s="31"/>
      <c r="C160" s="31"/>
      <c r="D160" s="31"/>
      <c r="E160" s="31"/>
      <c r="F160" s="31"/>
      <c r="G160" s="31"/>
      <c r="H160" s="56">
        <f>I156+I157+I158</f>
        <v>930.05</v>
      </c>
      <c r="I160" s="56"/>
      <c r="J160" s="56">
        <f>K156+K157+K158</f>
        <v>17002.239999999998</v>
      </c>
      <c r="K160" s="56"/>
      <c r="O160" s="30">
        <f>I156+I157+I158</f>
        <v>930.05</v>
      </c>
      <c r="P160" s="30">
        <f>K156+K157+K158</f>
        <v>17002.239999999998</v>
      </c>
      <c r="X160">
        <f>IF(Source!BI75&lt;=1,I156+I157+I158-0, 0)</f>
        <v>0</v>
      </c>
      <c r="Y160">
        <f>IF(Source!BI75=2,I156+I157+I158-0, 0)</f>
        <v>0</v>
      </c>
      <c r="Z160">
        <f>IF(Source!BI75=3,I156+I157+I158-0, 0)</f>
        <v>0</v>
      </c>
      <c r="AA160">
        <f>IF(Source!BI75=4,I156+I157+I158,0)</f>
        <v>930.05</v>
      </c>
    </row>
    <row r="161" spans="1:27" ht="42.75" x14ac:dyDescent="0.2">
      <c r="A161" s="23" t="str">
        <f>Source!E76</f>
        <v>14</v>
      </c>
      <c r="B161" s="24" t="str">
        <f>Source!F76</f>
        <v>5.1-152-1</v>
      </c>
      <c r="C161" s="24" t="s">
        <v>155</v>
      </c>
      <c r="D161" s="25" t="str">
        <f>Source!H76</f>
        <v>точка</v>
      </c>
      <c r="E161" s="10">
        <f>Source!I76</f>
        <v>20</v>
      </c>
      <c r="F161" s="27"/>
      <c r="G161" s="26"/>
      <c r="H161" s="10"/>
      <c r="I161" s="28"/>
      <c r="J161" s="10"/>
      <c r="K161" s="28"/>
      <c r="Q161">
        <f>ROUND((Source!DN76/100)*ROUND((ROUND((Source!AF76*Source!AV76*Source!I76),2)),2), 2)</f>
        <v>36.979999999999997</v>
      </c>
      <c r="R161">
        <f>Source!X76</f>
        <v>832.07</v>
      </c>
      <c r="S161">
        <f>ROUND((Source!DO76/100)*ROUND((ROUND((Source!AF76*Source!AV76*Source!I76),2)),2), 2)</f>
        <v>34.51</v>
      </c>
      <c r="T161">
        <f>Source!Y76</f>
        <v>501.69</v>
      </c>
      <c r="U161">
        <f>ROUND((175/100)*ROUND((ROUND((Source!AE76*Source!AV76*Source!I76),2)),2), 2)</f>
        <v>0</v>
      </c>
      <c r="V161">
        <f>ROUND((157/100)*ROUND(ROUND((ROUND((Source!AE76*Source!AV76*Source!I76),2)*Source!BS76),2), 2), 2)</f>
        <v>0</v>
      </c>
    </row>
    <row r="162" spans="1:27" ht="28.5" x14ac:dyDescent="0.2">
      <c r="A162" s="23"/>
      <c r="B162" s="24"/>
      <c r="C162" s="24" t="s">
        <v>252</v>
      </c>
      <c r="D162" s="25"/>
      <c r="E162" s="10"/>
      <c r="F162" s="27">
        <f>Source!AO76</f>
        <v>2.37</v>
      </c>
      <c r="G162" s="26" t="str">
        <f>Source!DG76</f>
        <v>)*1,3)*0,8</v>
      </c>
      <c r="H162" s="10">
        <f>Source!AV76</f>
        <v>1</v>
      </c>
      <c r="I162" s="28">
        <f>ROUND((ROUND((Source!AF76*Source!AV76*Source!I76),2)),2)</f>
        <v>49.3</v>
      </c>
      <c r="J162" s="10">
        <f>IF(Source!BA76&lt;&gt; 0, Source!BA76, 1)</f>
        <v>24.82</v>
      </c>
      <c r="K162" s="28">
        <f>Source!S76</f>
        <v>1223.6300000000001</v>
      </c>
      <c r="W162">
        <f>I162</f>
        <v>49.3</v>
      </c>
    </row>
    <row r="163" spans="1:27" ht="14.25" x14ac:dyDescent="0.2">
      <c r="A163" s="23"/>
      <c r="B163" s="24"/>
      <c r="C163" s="24" t="s">
        <v>256</v>
      </c>
      <c r="D163" s="25" t="s">
        <v>257</v>
      </c>
      <c r="E163" s="10">
        <f>Source!DN76</f>
        <v>75</v>
      </c>
      <c r="F163" s="27"/>
      <c r="G163" s="26"/>
      <c r="H163" s="10"/>
      <c r="I163" s="28">
        <f>SUM(Q161:Q162)</f>
        <v>36.979999999999997</v>
      </c>
      <c r="J163" s="10">
        <f>Source!BZ76</f>
        <v>68</v>
      </c>
      <c r="K163" s="28">
        <f>SUM(R161:R162)</f>
        <v>832.07</v>
      </c>
    </row>
    <row r="164" spans="1:27" ht="14.25" x14ac:dyDescent="0.2">
      <c r="A164" s="23"/>
      <c r="B164" s="24"/>
      <c r="C164" s="24" t="s">
        <v>258</v>
      </c>
      <c r="D164" s="25" t="s">
        <v>257</v>
      </c>
      <c r="E164" s="10">
        <f>Source!DO76</f>
        <v>70</v>
      </c>
      <c r="F164" s="27"/>
      <c r="G164" s="26"/>
      <c r="H164" s="10"/>
      <c r="I164" s="28">
        <f>SUM(S161:S163)</f>
        <v>34.51</v>
      </c>
      <c r="J164" s="10">
        <f>Source!CA76</f>
        <v>41</v>
      </c>
      <c r="K164" s="28">
        <f>SUM(T161:T163)</f>
        <v>501.69</v>
      </c>
    </row>
    <row r="165" spans="1:27" ht="28.5" x14ac:dyDescent="0.2">
      <c r="A165" s="23"/>
      <c r="B165" s="24"/>
      <c r="C165" s="24" t="s">
        <v>260</v>
      </c>
      <c r="D165" s="25" t="s">
        <v>261</v>
      </c>
      <c r="E165" s="10">
        <f>Source!AQ76</f>
        <v>0.15</v>
      </c>
      <c r="F165" s="27"/>
      <c r="G165" s="26" t="str">
        <f>Source!DI76</f>
        <v>)*1,3)*0,8</v>
      </c>
      <c r="H165" s="10">
        <f>Source!AV76</f>
        <v>1</v>
      </c>
      <c r="I165" s="28">
        <f>Source!U76</f>
        <v>3.1200000000000006</v>
      </c>
      <c r="J165" s="10"/>
      <c r="K165" s="28"/>
    </row>
    <row r="166" spans="1:27" ht="15" x14ac:dyDescent="0.25">
      <c r="A166" s="31"/>
      <c r="B166" s="31"/>
      <c r="C166" s="31"/>
      <c r="D166" s="31"/>
      <c r="E166" s="31"/>
      <c r="F166" s="31"/>
      <c r="G166" s="31"/>
      <c r="H166" s="56">
        <f>I162+I163+I164</f>
        <v>120.78999999999999</v>
      </c>
      <c r="I166" s="56"/>
      <c r="J166" s="56">
        <f>K162+K163+K164</f>
        <v>2557.3900000000003</v>
      </c>
      <c r="K166" s="56"/>
      <c r="O166" s="30">
        <f>I162+I163+I164</f>
        <v>120.78999999999999</v>
      </c>
      <c r="P166" s="30">
        <f>K162+K163+K164</f>
        <v>2557.3900000000003</v>
      </c>
      <c r="X166">
        <f>IF(Source!BI76&lt;=1,I162+I163+I164-0, 0)</f>
        <v>0</v>
      </c>
      <c r="Y166">
        <f>IF(Source!BI76=2,I162+I163+I164-0, 0)</f>
        <v>0</v>
      </c>
      <c r="Z166">
        <f>IF(Source!BI76=3,I162+I163+I164-0, 0)</f>
        <v>0</v>
      </c>
      <c r="AA166">
        <f>IF(Source!BI76=4,I162+I163+I164,0)</f>
        <v>120.78999999999999</v>
      </c>
    </row>
    <row r="167" spans="1:27" ht="28.5" x14ac:dyDescent="0.2">
      <c r="A167" s="23" t="str">
        <f>Source!E77</f>
        <v>15</v>
      </c>
      <c r="B167" s="24" t="str">
        <f>Source!F77</f>
        <v>5.1-154-1</v>
      </c>
      <c r="C167" s="24" t="s">
        <v>160</v>
      </c>
      <c r="D167" s="25" t="str">
        <f>Source!H77</f>
        <v>токоприемник</v>
      </c>
      <c r="E167" s="10">
        <f>Source!I77</f>
        <v>8</v>
      </c>
      <c r="F167" s="27"/>
      <c r="G167" s="26"/>
      <c r="H167" s="10"/>
      <c r="I167" s="28"/>
      <c r="J167" s="10"/>
      <c r="K167" s="28"/>
      <c r="Q167">
        <f>ROUND((Source!DN77/100)*ROUND((ROUND((Source!AF77*Source!AV77*Source!I77),2)),2), 2)</f>
        <v>98.78</v>
      </c>
      <c r="R167">
        <f>Source!X77</f>
        <v>2222.9499999999998</v>
      </c>
      <c r="S167">
        <f>ROUND((Source!DO77/100)*ROUND((ROUND((Source!AF77*Source!AV77*Source!I77),2)),2), 2)</f>
        <v>92.2</v>
      </c>
      <c r="T167">
        <f>Source!Y77</f>
        <v>1340.31</v>
      </c>
      <c r="U167">
        <f>ROUND((175/100)*ROUND((ROUND((Source!AE77*Source!AV77*Source!I77),2)),2), 2)</f>
        <v>0</v>
      </c>
      <c r="V167">
        <f>ROUND((157/100)*ROUND(ROUND((ROUND((Source!AE77*Source!AV77*Source!I77),2)*Source!BS77),2), 2), 2)</f>
        <v>0</v>
      </c>
    </row>
    <row r="168" spans="1:27" ht="28.5" x14ac:dyDescent="0.2">
      <c r="A168" s="23"/>
      <c r="B168" s="24"/>
      <c r="C168" s="24" t="s">
        <v>252</v>
      </c>
      <c r="D168" s="25"/>
      <c r="E168" s="10"/>
      <c r="F168" s="27">
        <f>Source!AO77</f>
        <v>15.83</v>
      </c>
      <c r="G168" s="26" t="str">
        <f>Source!DG77</f>
        <v>)*1,3)*0,8</v>
      </c>
      <c r="H168" s="10">
        <f>Source!AV77</f>
        <v>1</v>
      </c>
      <c r="I168" s="28">
        <f>ROUND((ROUND((Source!AF77*Source!AV77*Source!I77),2)),2)</f>
        <v>131.71</v>
      </c>
      <c r="J168" s="10">
        <f>IF(Source!BA77&lt;&gt; 0, Source!BA77, 1)</f>
        <v>24.82</v>
      </c>
      <c r="K168" s="28">
        <f>Source!S77</f>
        <v>3269.04</v>
      </c>
      <c r="W168">
        <f>I168</f>
        <v>131.71</v>
      </c>
    </row>
    <row r="169" spans="1:27" ht="14.25" x14ac:dyDescent="0.2">
      <c r="A169" s="23"/>
      <c r="B169" s="24"/>
      <c r="C169" s="24" t="s">
        <v>256</v>
      </c>
      <c r="D169" s="25" t="s">
        <v>257</v>
      </c>
      <c r="E169" s="10">
        <f>Source!DN77</f>
        <v>75</v>
      </c>
      <c r="F169" s="27"/>
      <c r="G169" s="26"/>
      <c r="H169" s="10"/>
      <c r="I169" s="28">
        <f>SUM(Q167:Q168)</f>
        <v>98.78</v>
      </c>
      <c r="J169" s="10">
        <f>Source!BZ77</f>
        <v>68</v>
      </c>
      <c r="K169" s="28">
        <f>SUM(R167:R168)</f>
        <v>2222.9499999999998</v>
      </c>
    </row>
    <row r="170" spans="1:27" ht="14.25" x14ac:dyDescent="0.2">
      <c r="A170" s="23"/>
      <c r="B170" s="24"/>
      <c r="C170" s="24" t="s">
        <v>258</v>
      </c>
      <c r="D170" s="25" t="s">
        <v>257</v>
      </c>
      <c r="E170" s="10">
        <f>Source!DO77</f>
        <v>70</v>
      </c>
      <c r="F170" s="27"/>
      <c r="G170" s="26"/>
      <c r="H170" s="10"/>
      <c r="I170" s="28">
        <f>SUM(S167:S169)</f>
        <v>92.2</v>
      </c>
      <c r="J170" s="10">
        <f>Source!CA77</f>
        <v>41</v>
      </c>
      <c r="K170" s="28">
        <f>SUM(T167:T169)</f>
        <v>1340.31</v>
      </c>
    </row>
    <row r="171" spans="1:27" ht="28.5" x14ac:dyDescent="0.2">
      <c r="A171" s="23"/>
      <c r="B171" s="24"/>
      <c r="C171" s="24" t="s">
        <v>260</v>
      </c>
      <c r="D171" s="25" t="s">
        <v>261</v>
      </c>
      <c r="E171" s="10">
        <f>Source!AQ77</f>
        <v>1</v>
      </c>
      <c r="F171" s="27"/>
      <c r="G171" s="26" t="str">
        <f>Source!DI77</f>
        <v>)*1,3)*0,8</v>
      </c>
      <c r="H171" s="10">
        <f>Source!AV77</f>
        <v>1</v>
      </c>
      <c r="I171" s="28">
        <f>Source!U77</f>
        <v>8.32</v>
      </c>
      <c r="J171" s="10"/>
      <c r="K171" s="28"/>
    </row>
    <row r="172" spans="1:27" ht="15" x14ac:dyDescent="0.25">
      <c r="A172" s="31"/>
      <c r="B172" s="31"/>
      <c r="C172" s="31"/>
      <c r="D172" s="31"/>
      <c r="E172" s="31"/>
      <c r="F172" s="31"/>
      <c r="G172" s="31"/>
      <c r="H172" s="56">
        <f>I168+I169+I170</f>
        <v>322.69</v>
      </c>
      <c r="I172" s="56"/>
      <c r="J172" s="56">
        <f>K168+K169+K170</f>
        <v>6832.2999999999993</v>
      </c>
      <c r="K172" s="56"/>
      <c r="O172" s="30">
        <f>I168+I169+I170</f>
        <v>322.69</v>
      </c>
      <c r="P172" s="30">
        <f>K168+K169+K170</f>
        <v>6832.2999999999993</v>
      </c>
      <c r="X172">
        <f>IF(Source!BI77&lt;=1,I168+I169+I170-0, 0)</f>
        <v>0</v>
      </c>
      <c r="Y172">
        <f>IF(Source!BI77=2,I168+I169+I170-0, 0)</f>
        <v>0</v>
      </c>
      <c r="Z172">
        <f>IF(Source!BI77=3,I168+I169+I170-0, 0)</f>
        <v>0</v>
      </c>
      <c r="AA172">
        <f>IF(Source!BI77=4,I168+I169+I170,0)</f>
        <v>322.69</v>
      </c>
    </row>
    <row r="173" spans="1:27" ht="42.75" x14ac:dyDescent="0.2">
      <c r="A173" s="23" t="str">
        <f>Source!E78</f>
        <v>16</v>
      </c>
      <c r="B173" s="24" t="str">
        <f>Source!F78</f>
        <v>5.1-158-1</v>
      </c>
      <c r="C173" s="24" t="s">
        <v>165</v>
      </c>
      <c r="D173" s="25" t="str">
        <f>Source!H78</f>
        <v>фазировка</v>
      </c>
      <c r="E173" s="10">
        <f>Source!I78</f>
        <v>6</v>
      </c>
      <c r="F173" s="27"/>
      <c r="G173" s="26"/>
      <c r="H173" s="10"/>
      <c r="I173" s="28"/>
      <c r="J173" s="10"/>
      <c r="K173" s="28"/>
      <c r="Q173">
        <f>ROUND((Source!DN78/100)*ROUND((ROUND((Source!AF78*Source!AV78*Source!I78),2)),2), 2)</f>
        <v>66.650000000000006</v>
      </c>
      <c r="R173">
        <f>Source!X78</f>
        <v>1499.75</v>
      </c>
      <c r="S173">
        <f>ROUND((Source!DO78/100)*ROUND((ROUND((Source!AF78*Source!AV78*Source!I78),2)),2), 2)</f>
        <v>62.2</v>
      </c>
      <c r="T173">
        <f>Source!Y78</f>
        <v>904.26</v>
      </c>
      <c r="U173">
        <f>ROUND((175/100)*ROUND((ROUND((Source!AE78*Source!AV78*Source!I78),2)),2), 2)</f>
        <v>0</v>
      </c>
      <c r="V173">
        <f>ROUND((157/100)*ROUND(ROUND((ROUND((Source!AE78*Source!AV78*Source!I78),2)*Source!BS78),2), 2), 2)</f>
        <v>0</v>
      </c>
    </row>
    <row r="174" spans="1:27" ht="28.5" x14ac:dyDescent="0.2">
      <c r="A174" s="23"/>
      <c r="B174" s="24"/>
      <c r="C174" s="24" t="s">
        <v>252</v>
      </c>
      <c r="D174" s="25"/>
      <c r="E174" s="10"/>
      <c r="F174" s="27">
        <f>Source!AO78</f>
        <v>14.24</v>
      </c>
      <c r="G174" s="26" t="str">
        <f>Source!DG78</f>
        <v>)*1,3)*0,8</v>
      </c>
      <c r="H174" s="10">
        <f>Source!AV78</f>
        <v>1</v>
      </c>
      <c r="I174" s="28">
        <f>ROUND((ROUND((Source!AF78*Source!AV78*Source!I78),2)),2)</f>
        <v>88.86</v>
      </c>
      <c r="J174" s="10">
        <f>IF(Source!BA78&lt;&gt; 0, Source!BA78, 1)</f>
        <v>24.82</v>
      </c>
      <c r="K174" s="28">
        <f>Source!S78</f>
        <v>2205.5100000000002</v>
      </c>
      <c r="W174">
        <f>I174</f>
        <v>88.86</v>
      </c>
    </row>
    <row r="175" spans="1:27" ht="14.25" x14ac:dyDescent="0.2">
      <c r="A175" s="23"/>
      <c r="B175" s="24"/>
      <c r="C175" s="24" t="s">
        <v>256</v>
      </c>
      <c r="D175" s="25" t="s">
        <v>257</v>
      </c>
      <c r="E175" s="10">
        <f>Source!DN78</f>
        <v>75</v>
      </c>
      <c r="F175" s="27"/>
      <c r="G175" s="26"/>
      <c r="H175" s="10"/>
      <c r="I175" s="28">
        <f>SUM(Q173:Q174)</f>
        <v>66.650000000000006</v>
      </c>
      <c r="J175" s="10">
        <f>Source!BZ78</f>
        <v>68</v>
      </c>
      <c r="K175" s="28">
        <f>SUM(R173:R174)</f>
        <v>1499.75</v>
      </c>
    </row>
    <row r="176" spans="1:27" ht="14.25" x14ac:dyDescent="0.2">
      <c r="A176" s="23"/>
      <c r="B176" s="24"/>
      <c r="C176" s="24" t="s">
        <v>258</v>
      </c>
      <c r="D176" s="25" t="s">
        <v>257</v>
      </c>
      <c r="E176" s="10">
        <f>Source!DO78</f>
        <v>70</v>
      </c>
      <c r="F176" s="27"/>
      <c r="G176" s="26"/>
      <c r="H176" s="10"/>
      <c r="I176" s="28">
        <f>SUM(S173:S175)</f>
        <v>62.2</v>
      </c>
      <c r="J176" s="10">
        <f>Source!CA78</f>
        <v>41</v>
      </c>
      <c r="K176" s="28">
        <f>SUM(T173:T175)</f>
        <v>904.26</v>
      </c>
    </row>
    <row r="177" spans="1:27" ht="28.5" x14ac:dyDescent="0.2">
      <c r="A177" s="23"/>
      <c r="B177" s="24"/>
      <c r="C177" s="24" t="s">
        <v>260</v>
      </c>
      <c r="D177" s="25" t="s">
        <v>261</v>
      </c>
      <c r="E177" s="10">
        <f>Source!AQ78</f>
        <v>0.9</v>
      </c>
      <c r="F177" s="27"/>
      <c r="G177" s="26" t="str">
        <f>Source!DI78</f>
        <v>)*1,3)*0,8</v>
      </c>
      <c r="H177" s="10">
        <f>Source!AV78</f>
        <v>1</v>
      </c>
      <c r="I177" s="28">
        <f>Source!U78</f>
        <v>5.6160000000000014</v>
      </c>
      <c r="J177" s="10"/>
      <c r="K177" s="28"/>
    </row>
    <row r="178" spans="1:27" ht="15" x14ac:dyDescent="0.25">
      <c r="A178" s="31"/>
      <c r="B178" s="31"/>
      <c r="C178" s="31"/>
      <c r="D178" s="31"/>
      <c r="E178" s="31"/>
      <c r="F178" s="31"/>
      <c r="G178" s="31"/>
      <c r="H178" s="56">
        <f>I174+I175+I176</f>
        <v>217.70999999999998</v>
      </c>
      <c r="I178" s="56"/>
      <c r="J178" s="56">
        <f>K174+K175+K176</f>
        <v>4609.5200000000004</v>
      </c>
      <c r="K178" s="56"/>
      <c r="O178" s="30">
        <f>I174+I175+I176</f>
        <v>217.70999999999998</v>
      </c>
      <c r="P178" s="30">
        <f>K174+K175+K176</f>
        <v>4609.5200000000004</v>
      </c>
      <c r="X178">
        <f>IF(Source!BI78&lt;=1,I174+I175+I176-0, 0)</f>
        <v>0</v>
      </c>
      <c r="Y178">
        <f>IF(Source!BI78=2,I174+I175+I176-0, 0)</f>
        <v>0</v>
      </c>
      <c r="Z178">
        <f>IF(Source!BI78=3,I174+I175+I176-0, 0)</f>
        <v>0</v>
      </c>
      <c r="AA178">
        <f>IF(Source!BI78=4,I174+I175+I176,0)</f>
        <v>217.70999999999998</v>
      </c>
    </row>
    <row r="179" spans="1:27" ht="128.25" x14ac:dyDescent="0.2">
      <c r="A179" s="23" t="str">
        <f>Source!E79</f>
        <v>17</v>
      </c>
      <c r="B179" s="24" t="str">
        <f>Source!F79</f>
        <v>5.1-162-1</v>
      </c>
      <c r="C179" s="24" t="s">
        <v>170</v>
      </c>
      <c r="D179" s="25" t="str">
        <f>Source!H79</f>
        <v>измерение</v>
      </c>
      <c r="E179" s="10">
        <f>Source!I79</f>
        <v>42</v>
      </c>
      <c r="F179" s="27"/>
      <c r="G179" s="26"/>
      <c r="H179" s="10"/>
      <c r="I179" s="28"/>
      <c r="J179" s="10"/>
      <c r="K179" s="28"/>
      <c r="Q179">
        <f>ROUND((Source!DN79/100)*ROUND((ROUND((Source!AF79*Source!AV79*Source!I79),2)),2), 2)</f>
        <v>186.74</v>
      </c>
      <c r="R179">
        <f>Source!X79</f>
        <v>4202.18</v>
      </c>
      <c r="S179">
        <f>ROUND((Source!DO79/100)*ROUND((ROUND((Source!AF79*Source!AV79*Source!I79),2)),2), 2)</f>
        <v>174.29</v>
      </c>
      <c r="T179">
        <f>Source!Y79</f>
        <v>2533.67</v>
      </c>
      <c r="U179">
        <f>ROUND((175/100)*ROUND((ROUND((Source!AE79*Source!AV79*Source!I79),2)),2), 2)</f>
        <v>0</v>
      </c>
      <c r="V179">
        <f>ROUND((157/100)*ROUND(ROUND((ROUND((Source!AE79*Source!AV79*Source!I79),2)*Source!BS79),2), 2), 2)</f>
        <v>0</v>
      </c>
    </row>
    <row r="180" spans="1:27" ht="28.5" x14ac:dyDescent="0.2">
      <c r="A180" s="23"/>
      <c r="B180" s="24"/>
      <c r="C180" s="24" t="s">
        <v>252</v>
      </c>
      <c r="D180" s="25"/>
      <c r="E180" s="10"/>
      <c r="F180" s="27">
        <f>Source!AO79</f>
        <v>5.7</v>
      </c>
      <c r="G180" s="26" t="str">
        <f>Source!DG79</f>
        <v>)*1,3)*0,8</v>
      </c>
      <c r="H180" s="10">
        <f>Source!AV79</f>
        <v>1</v>
      </c>
      <c r="I180" s="28">
        <f>ROUND((ROUND((Source!AF79*Source!AV79*Source!I79),2)),2)</f>
        <v>248.98</v>
      </c>
      <c r="J180" s="10">
        <f>IF(Source!BA79&lt;&gt; 0, Source!BA79, 1)</f>
        <v>24.82</v>
      </c>
      <c r="K180" s="28">
        <f>Source!S79</f>
        <v>6179.68</v>
      </c>
      <c r="W180">
        <f>I180</f>
        <v>248.98</v>
      </c>
    </row>
    <row r="181" spans="1:27" ht="14.25" x14ac:dyDescent="0.2">
      <c r="A181" s="23"/>
      <c r="B181" s="24"/>
      <c r="C181" s="24" t="s">
        <v>256</v>
      </c>
      <c r="D181" s="25" t="s">
        <v>257</v>
      </c>
      <c r="E181" s="10">
        <f>Source!DN79</f>
        <v>75</v>
      </c>
      <c r="F181" s="27"/>
      <c r="G181" s="26"/>
      <c r="H181" s="10"/>
      <c r="I181" s="28">
        <f>SUM(Q179:Q180)</f>
        <v>186.74</v>
      </c>
      <c r="J181" s="10">
        <f>Source!BZ79</f>
        <v>68</v>
      </c>
      <c r="K181" s="28">
        <f>SUM(R179:R180)</f>
        <v>4202.18</v>
      </c>
    </row>
    <row r="182" spans="1:27" ht="14.25" x14ac:dyDescent="0.2">
      <c r="A182" s="23"/>
      <c r="B182" s="24"/>
      <c r="C182" s="24" t="s">
        <v>258</v>
      </c>
      <c r="D182" s="25" t="s">
        <v>257</v>
      </c>
      <c r="E182" s="10">
        <f>Source!DO79</f>
        <v>70</v>
      </c>
      <c r="F182" s="27"/>
      <c r="G182" s="26"/>
      <c r="H182" s="10"/>
      <c r="I182" s="28">
        <f>SUM(S179:S181)</f>
        <v>174.29</v>
      </c>
      <c r="J182" s="10">
        <f>Source!CA79</f>
        <v>41</v>
      </c>
      <c r="K182" s="28">
        <f>SUM(T179:T181)</f>
        <v>2533.67</v>
      </c>
    </row>
    <row r="183" spans="1:27" ht="28.5" x14ac:dyDescent="0.2">
      <c r="A183" s="23"/>
      <c r="B183" s="24"/>
      <c r="C183" s="24" t="s">
        <v>260</v>
      </c>
      <c r="D183" s="25" t="s">
        <v>261</v>
      </c>
      <c r="E183" s="10">
        <f>Source!AQ79</f>
        <v>0.36</v>
      </c>
      <c r="F183" s="27"/>
      <c r="G183" s="26" t="str">
        <f>Source!DI79</f>
        <v>)*1,3)*0,8</v>
      </c>
      <c r="H183" s="10">
        <f>Source!AV79</f>
        <v>1</v>
      </c>
      <c r="I183" s="28">
        <f>Source!U79</f>
        <v>15.7248</v>
      </c>
      <c r="J183" s="10"/>
      <c r="K183" s="28"/>
    </row>
    <row r="184" spans="1:27" ht="15" x14ac:dyDescent="0.25">
      <c r="A184" s="31"/>
      <c r="B184" s="31"/>
      <c r="C184" s="31"/>
      <c r="D184" s="31"/>
      <c r="E184" s="31"/>
      <c r="F184" s="31"/>
      <c r="G184" s="31"/>
      <c r="H184" s="56">
        <f>I180+I181+I182</f>
        <v>610.01</v>
      </c>
      <c r="I184" s="56"/>
      <c r="J184" s="56">
        <f>K180+K181+K182</f>
        <v>12915.53</v>
      </c>
      <c r="K184" s="56"/>
      <c r="O184" s="30">
        <f>I180+I181+I182</f>
        <v>610.01</v>
      </c>
      <c r="P184" s="30">
        <f>K180+K181+K182</f>
        <v>12915.53</v>
      </c>
      <c r="X184">
        <f>IF(Source!BI79&lt;=1,I180+I181+I182-0, 0)</f>
        <v>0</v>
      </c>
      <c r="Y184">
        <f>IF(Source!BI79=2,I180+I181+I182-0, 0)</f>
        <v>0</v>
      </c>
      <c r="Z184">
        <f>IF(Source!BI79=3,I180+I181+I182-0, 0)</f>
        <v>0</v>
      </c>
      <c r="AA184">
        <f>IF(Source!BI79=4,I180+I181+I182,0)</f>
        <v>610.01</v>
      </c>
    </row>
    <row r="185" spans="1:27" ht="42.75" x14ac:dyDescent="0.2">
      <c r="A185" s="23" t="str">
        <f>Source!E80</f>
        <v>18</v>
      </c>
      <c r="B185" s="24" t="str">
        <f>Source!F80</f>
        <v>5.1-162-2</v>
      </c>
      <c r="C185" s="24" t="s">
        <v>175</v>
      </c>
      <c r="D185" s="25" t="str">
        <f>Source!H80</f>
        <v>измерение</v>
      </c>
      <c r="E185" s="10">
        <f>Source!I80</f>
        <v>12</v>
      </c>
      <c r="F185" s="27"/>
      <c r="G185" s="26"/>
      <c r="H185" s="10"/>
      <c r="I185" s="28"/>
      <c r="J185" s="10"/>
      <c r="K185" s="28"/>
      <c r="Q185">
        <f>ROUND((Source!DN80/100)*ROUND((ROUND((Source!AF80*Source!AV80*Source!I80),2)),2), 2)</f>
        <v>14.79</v>
      </c>
      <c r="R185">
        <f>Source!X80</f>
        <v>332.83</v>
      </c>
      <c r="S185">
        <f>ROUND((Source!DO80/100)*ROUND((ROUND((Source!AF80*Source!AV80*Source!I80),2)),2), 2)</f>
        <v>13.8</v>
      </c>
      <c r="T185">
        <f>Source!Y80</f>
        <v>200.67</v>
      </c>
      <c r="U185">
        <f>ROUND((175/100)*ROUND((ROUND((Source!AE80*Source!AV80*Source!I80),2)),2), 2)</f>
        <v>0</v>
      </c>
      <c r="V185">
        <f>ROUND((157/100)*ROUND(ROUND((ROUND((Source!AE80*Source!AV80*Source!I80),2)*Source!BS80),2), 2), 2)</f>
        <v>0</v>
      </c>
    </row>
    <row r="186" spans="1:27" ht="28.5" x14ac:dyDescent="0.2">
      <c r="A186" s="23"/>
      <c r="B186" s="24"/>
      <c r="C186" s="24" t="s">
        <v>252</v>
      </c>
      <c r="D186" s="25"/>
      <c r="E186" s="10"/>
      <c r="F186" s="27">
        <f>Source!AO80</f>
        <v>1.58</v>
      </c>
      <c r="G186" s="26" t="str">
        <f>Source!DG80</f>
        <v>)*1,3)*0,8</v>
      </c>
      <c r="H186" s="10">
        <f>Source!AV80</f>
        <v>1</v>
      </c>
      <c r="I186" s="28">
        <f>ROUND((ROUND((Source!AF80*Source!AV80*Source!I80),2)),2)</f>
        <v>19.72</v>
      </c>
      <c r="J186" s="10">
        <f>IF(Source!BA80&lt;&gt; 0, Source!BA80, 1)</f>
        <v>24.82</v>
      </c>
      <c r="K186" s="28">
        <f>Source!S80</f>
        <v>489.45</v>
      </c>
      <c r="W186">
        <f>I186</f>
        <v>19.72</v>
      </c>
    </row>
    <row r="187" spans="1:27" ht="14.25" x14ac:dyDescent="0.2">
      <c r="A187" s="23"/>
      <c r="B187" s="24"/>
      <c r="C187" s="24" t="s">
        <v>256</v>
      </c>
      <c r="D187" s="25" t="s">
        <v>257</v>
      </c>
      <c r="E187" s="10">
        <f>Source!DN80</f>
        <v>75</v>
      </c>
      <c r="F187" s="27"/>
      <c r="G187" s="26"/>
      <c r="H187" s="10"/>
      <c r="I187" s="28">
        <f>SUM(Q185:Q186)</f>
        <v>14.79</v>
      </c>
      <c r="J187" s="10">
        <f>Source!BZ80</f>
        <v>68</v>
      </c>
      <c r="K187" s="28">
        <f>SUM(R185:R186)</f>
        <v>332.83</v>
      </c>
    </row>
    <row r="188" spans="1:27" ht="14.25" x14ac:dyDescent="0.2">
      <c r="A188" s="23"/>
      <c r="B188" s="24"/>
      <c r="C188" s="24" t="s">
        <v>258</v>
      </c>
      <c r="D188" s="25" t="s">
        <v>257</v>
      </c>
      <c r="E188" s="10">
        <f>Source!DO80</f>
        <v>70</v>
      </c>
      <c r="F188" s="27"/>
      <c r="G188" s="26"/>
      <c r="H188" s="10"/>
      <c r="I188" s="28">
        <f>SUM(S185:S187)</f>
        <v>13.8</v>
      </c>
      <c r="J188" s="10">
        <f>Source!CA80</f>
        <v>41</v>
      </c>
      <c r="K188" s="28">
        <f>SUM(T185:T187)</f>
        <v>200.67</v>
      </c>
    </row>
    <row r="189" spans="1:27" ht="28.5" x14ac:dyDescent="0.2">
      <c r="A189" s="23"/>
      <c r="B189" s="24"/>
      <c r="C189" s="24" t="s">
        <v>260</v>
      </c>
      <c r="D189" s="25" t="s">
        <v>261</v>
      </c>
      <c r="E189" s="10">
        <f>Source!AQ80</f>
        <v>0.1</v>
      </c>
      <c r="F189" s="27"/>
      <c r="G189" s="26" t="str">
        <f>Source!DI80</f>
        <v>)*1,3)*0,8</v>
      </c>
      <c r="H189" s="10">
        <f>Source!AV80</f>
        <v>1</v>
      </c>
      <c r="I189" s="28">
        <f>Source!U80</f>
        <v>1.2480000000000002</v>
      </c>
      <c r="J189" s="10"/>
      <c r="K189" s="28"/>
    </row>
    <row r="190" spans="1:27" ht="15" x14ac:dyDescent="0.25">
      <c r="A190" s="31"/>
      <c r="B190" s="31"/>
      <c r="C190" s="31"/>
      <c r="D190" s="31"/>
      <c r="E190" s="31"/>
      <c r="F190" s="31"/>
      <c r="G190" s="31"/>
      <c r="H190" s="56">
        <f>I186+I187+I188</f>
        <v>48.31</v>
      </c>
      <c r="I190" s="56"/>
      <c r="J190" s="56">
        <f>K186+K187+K188</f>
        <v>1022.9499999999999</v>
      </c>
      <c r="K190" s="56"/>
      <c r="O190" s="30">
        <f>I186+I187+I188</f>
        <v>48.31</v>
      </c>
      <c r="P190" s="30">
        <f>K186+K187+K188</f>
        <v>1022.9499999999999</v>
      </c>
      <c r="X190">
        <f>IF(Source!BI80&lt;=1,I186+I187+I188-0, 0)</f>
        <v>0</v>
      </c>
      <c r="Y190">
        <f>IF(Source!BI80=2,I186+I187+I188-0, 0)</f>
        <v>0</v>
      </c>
      <c r="Z190">
        <f>IF(Source!BI80=3,I186+I187+I188-0, 0)</f>
        <v>0</v>
      </c>
      <c r="AA190">
        <f>IF(Source!BI80=4,I186+I187+I188,0)</f>
        <v>48.31</v>
      </c>
    </row>
    <row r="191" spans="1:27" ht="57" x14ac:dyDescent="0.2">
      <c r="A191" s="23" t="str">
        <f>Source!E81</f>
        <v>19</v>
      </c>
      <c r="B191" s="24" t="str">
        <f>Source!F81</f>
        <v>5.1-156-5</v>
      </c>
      <c r="C191" s="24" t="s">
        <v>179</v>
      </c>
      <c r="D191" s="25" t="str">
        <f>Source!H81</f>
        <v>измерение</v>
      </c>
      <c r="E191" s="10">
        <f>Source!I81</f>
        <v>9</v>
      </c>
      <c r="F191" s="27"/>
      <c r="G191" s="26"/>
      <c r="H191" s="10"/>
      <c r="I191" s="28"/>
      <c r="J191" s="10"/>
      <c r="K191" s="28"/>
      <c r="Q191">
        <f>ROUND((Source!DN81/100)*ROUND((ROUND((Source!AF81*Source!AV81*Source!I81),2)),2), 2)</f>
        <v>49.98</v>
      </c>
      <c r="R191">
        <f>Source!X81</f>
        <v>1124.72</v>
      </c>
      <c r="S191">
        <f>ROUND((Source!DO81/100)*ROUND((ROUND((Source!AF81*Source!AV81*Source!I81),2)),2), 2)</f>
        <v>46.65</v>
      </c>
      <c r="T191">
        <f>Source!Y81</f>
        <v>678.14</v>
      </c>
      <c r="U191">
        <f>ROUND((175/100)*ROUND((ROUND((Source!AE81*Source!AV81*Source!I81),2)),2), 2)</f>
        <v>0</v>
      </c>
      <c r="V191">
        <f>ROUND((157/100)*ROUND(ROUND((ROUND((Source!AE81*Source!AV81*Source!I81),2)*Source!BS81),2), 2), 2)</f>
        <v>0</v>
      </c>
    </row>
    <row r="192" spans="1:27" ht="28.5" x14ac:dyDescent="0.2">
      <c r="A192" s="23"/>
      <c r="B192" s="24"/>
      <c r="C192" s="24" t="s">
        <v>252</v>
      </c>
      <c r="D192" s="25"/>
      <c r="E192" s="10"/>
      <c r="F192" s="27">
        <f>Source!AO81</f>
        <v>7.12</v>
      </c>
      <c r="G192" s="26" t="str">
        <f>Source!DG81</f>
        <v>)*1,3)*0,8</v>
      </c>
      <c r="H192" s="10">
        <f>Source!AV81</f>
        <v>1</v>
      </c>
      <c r="I192" s="28">
        <f>ROUND((ROUND((Source!AF81*Source!AV81*Source!I81),2)),2)</f>
        <v>66.64</v>
      </c>
      <c r="J192" s="10">
        <f>IF(Source!BA81&lt;&gt; 0, Source!BA81, 1)</f>
        <v>24.82</v>
      </c>
      <c r="K192" s="28">
        <f>Source!S81</f>
        <v>1654</v>
      </c>
      <c r="W192">
        <f>I192</f>
        <v>66.64</v>
      </c>
    </row>
    <row r="193" spans="1:27" ht="14.25" x14ac:dyDescent="0.2">
      <c r="A193" s="23"/>
      <c r="B193" s="24"/>
      <c r="C193" s="24" t="s">
        <v>256</v>
      </c>
      <c r="D193" s="25" t="s">
        <v>257</v>
      </c>
      <c r="E193" s="10">
        <f>Source!DN81</f>
        <v>75</v>
      </c>
      <c r="F193" s="27"/>
      <c r="G193" s="26"/>
      <c r="H193" s="10"/>
      <c r="I193" s="28">
        <f>SUM(Q191:Q192)</f>
        <v>49.98</v>
      </c>
      <c r="J193" s="10">
        <f>Source!BZ81</f>
        <v>68</v>
      </c>
      <c r="K193" s="28">
        <f>SUM(R191:R192)</f>
        <v>1124.72</v>
      </c>
    </row>
    <row r="194" spans="1:27" ht="14.25" x14ac:dyDescent="0.2">
      <c r="A194" s="23"/>
      <c r="B194" s="24"/>
      <c r="C194" s="24" t="s">
        <v>258</v>
      </c>
      <c r="D194" s="25" t="s">
        <v>257</v>
      </c>
      <c r="E194" s="10">
        <f>Source!DO81</f>
        <v>70</v>
      </c>
      <c r="F194" s="27"/>
      <c r="G194" s="26"/>
      <c r="H194" s="10"/>
      <c r="I194" s="28">
        <f>SUM(S191:S193)</f>
        <v>46.65</v>
      </c>
      <c r="J194" s="10">
        <f>Source!CA81</f>
        <v>41</v>
      </c>
      <c r="K194" s="28">
        <f>SUM(T191:T193)</f>
        <v>678.14</v>
      </c>
    </row>
    <row r="195" spans="1:27" ht="28.5" x14ac:dyDescent="0.2">
      <c r="A195" s="23"/>
      <c r="B195" s="24"/>
      <c r="C195" s="24" t="s">
        <v>260</v>
      </c>
      <c r="D195" s="25" t="s">
        <v>261</v>
      </c>
      <c r="E195" s="10">
        <f>Source!AQ81</f>
        <v>0.45</v>
      </c>
      <c r="F195" s="27"/>
      <c r="G195" s="26" t="str">
        <f>Source!DI81</f>
        <v>)*1,3)*0,8</v>
      </c>
      <c r="H195" s="10">
        <f>Source!AV81</f>
        <v>1</v>
      </c>
      <c r="I195" s="28">
        <f>Source!U81</f>
        <v>4.2120000000000006</v>
      </c>
      <c r="J195" s="10"/>
      <c r="K195" s="28"/>
    </row>
    <row r="196" spans="1:27" ht="15" x14ac:dyDescent="0.25">
      <c r="A196" s="31"/>
      <c r="B196" s="31"/>
      <c r="C196" s="31"/>
      <c r="D196" s="31"/>
      <c r="E196" s="31"/>
      <c r="F196" s="31"/>
      <c r="G196" s="31"/>
      <c r="H196" s="56">
        <f>I192+I193+I194</f>
        <v>163.27000000000001</v>
      </c>
      <c r="I196" s="56"/>
      <c r="J196" s="56">
        <f>K192+K193+K194</f>
        <v>3456.86</v>
      </c>
      <c r="K196" s="56"/>
      <c r="O196" s="30">
        <f>I192+I193+I194</f>
        <v>163.27000000000001</v>
      </c>
      <c r="P196" s="30">
        <f>K192+K193+K194</f>
        <v>3456.86</v>
      </c>
      <c r="X196">
        <f>IF(Source!BI81&lt;=1,I192+I193+I194-0, 0)</f>
        <v>0</v>
      </c>
      <c r="Y196">
        <f>IF(Source!BI81=2,I192+I193+I194-0, 0)</f>
        <v>0</v>
      </c>
      <c r="Z196">
        <f>IF(Source!BI81=3,I192+I193+I194-0, 0)</f>
        <v>0</v>
      </c>
      <c r="AA196">
        <f>IF(Source!BI81=4,I192+I193+I194,0)</f>
        <v>163.27000000000001</v>
      </c>
    </row>
    <row r="198" spans="1:27" ht="15" x14ac:dyDescent="0.25">
      <c r="A198" s="55" t="str">
        <f>CONCATENATE("Итого по разделу: ",IF(Source!G83&lt;&gt;"Новый раздел", Source!G83, ""))</f>
        <v>Итого по разделу: Пусконаладочные работы.</v>
      </c>
      <c r="B198" s="55"/>
      <c r="C198" s="55"/>
      <c r="D198" s="55"/>
      <c r="E198" s="55"/>
      <c r="F198" s="55"/>
      <c r="G198" s="55"/>
      <c r="H198" s="53">
        <f>SUM(O142:O197)</f>
        <v>4098.6499999999996</v>
      </c>
      <c r="I198" s="54"/>
      <c r="J198" s="53">
        <f>SUM(P142:P197)</f>
        <v>84090.65</v>
      </c>
      <c r="K198" s="54"/>
    </row>
    <row r="199" spans="1:27" hidden="1" x14ac:dyDescent="0.2">
      <c r="A199" t="s">
        <v>262</v>
      </c>
      <c r="H199">
        <f>SUM(AC142:AC198)</f>
        <v>0</v>
      </c>
      <c r="J199">
        <f>SUM(AD142:AD198)</f>
        <v>0</v>
      </c>
    </row>
    <row r="200" spans="1:27" hidden="1" x14ac:dyDescent="0.2">
      <c r="A200" t="s">
        <v>263</v>
      </c>
      <c r="H200">
        <f>SUM(AE142:AE199)</f>
        <v>0</v>
      </c>
      <c r="J200">
        <f>SUM(AF142:AF199)</f>
        <v>0</v>
      </c>
    </row>
    <row r="202" spans="1:27" ht="16.5" x14ac:dyDescent="0.25">
      <c r="A202" s="57" t="str">
        <f>CONCATENATE("Раздел: ",IF(Source!G113&lt;&gt;"Новый раздел", Source!G113, ""))</f>
        <v>Раздел: Материалы, не учтенные ценником и оборудование.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27" ht="71.25" x14ac:dyDescent="0.2">
      <c r="A203" s="23" t="str">
        <f>Source!E117</f>
        <v>20</v>
      </c>
      <c r="B203" s="24" t="str">
        <f>Source!F117</f>
        <v>1.23-1-4</v>
      </c>
      <c r="C203" s="24" t="s">
        <v>184</v>
      </c>
      <c r="D203" s="25" t="str">
        <f>Source!H117</f>
        <v>км</v>
      </c>
      <c r="E203" s="10">
        <f>Source!I117</f>
        <v>3.9E-2</v>
      </c>
      <c r="F203" s="27">
        <f>Source!AL117</f>
        <v>19941.89</v>
      </c>
      <c r="G203" s="26" t="str">
        <f>Source!DD117</f>
        <v/>
      </c>
      <c r="H203" s="10">
        <f>Source!AW117</f>
        <v>1</v>
      </c>
      <c r="I203" s="28">
        <f>ROUND((ROUND((Source!AC117*Source!AW117*Source!I117),2)),2)</f>
        <v>777.73</v>
      </c>
      <c r="J203" s="10">
        <f>IF(Source!BC117&lt;&gt; 0, Source!BC117, 1)</f>
        <v>8.0500000000000007</v>
      </c>
      <c r="K203" s="28">
        <f>Source!P117</f>
        <v>6260.73</v>
      </c>
      <c r="Q203">
        <f>ROUND((Source!DN117/100)*ROUND((ROUND((Source!AF117*Source!AV117*Source!I117),2)),2), 2)</f>
        <v>0</v>
      </c>
      <c r="R203">
        <f>Source!X117</f>
        <v>0</v>
      </c>
      <c r="S203">
        <f>ROUND((Source!DO117/100)*ROUND((ROUND((Source!AF117*Source!AV117*Source!I117),2)),2), 2)</f>
        <v>0</v>
      </c>
      <c r="T203">
        <f>Source!Y117</f>
        <v>0</v>
      </c>
      <c r="U203">
        <f>ROUND((175/100)*ROUND((ROUND((Source!AE117*Source!AV117*Source!I117),2)),2), 2)</f>
        <v>0</v>
      </c>
      <c r="V203">
        <f>ROUND((157/100)*ROUND(ROUND((ROUND((Source!AE117*Source!AV117*Source!I117),2)*Source!BS117),2), 2), 2)</f>
        <v>0</v>
      </c>
    </row>
    <row r="204" spans="1:27" x14ac:dyDescent="0.2">
      <c r="C204" s="32" t="str">
        <f>"Объем: "&amp;Source!I117&amp;"="&amp;Source!I31&amp;"/"&amp;"10"</f>
        <v>Объем: 0,039=0,39/10</v>
      </c>
    </row>
    <row r="205" spans="1:27" ht="15" x14ac:dyDescent="0.25">
      <c r="A205" s="31"/>
      <c r="B205" s="31"/>
      <c r="C205" s="31"/>
      <c r="D205" s="31"/>
      <c r="E205" s="31"/>
      <c r="F205" s="31"/>
      <c r="G205" s="31"/>
      <c r="H205" s="56">
        <f>I203</f>
        <v>777.73</v>
      </c>
      <c r="I205" s="56"/>
      <c r="J205" s="56">
        <f>K203</f>
        <v>6260.73</v>
      </c>
      <c r="K205" s="56"/>
      <c r="O205" s="30">
        <f>I203</f>
        <v>777.73</v>
      </c>
      <c r="P205" s="30">
        <f>K203</f>
        <v>6260.73</v>
      </c>
      <c r="X205">
        <f>IF(Source!BI117&lt;=1,I203-0, 0)</f>
        <v>0</v>
      </c>
      <c r="Y205">
        <f>IF(Source!BI117=2,I203-0, 0)</f>
        <v>777.73</v>
      </c>
      <c r="Z205">
        <f>IF(Source!BI117=3,I203-0, 0)</f>
        <v>0</v>
      </c>
      <c r="AA205">
        <f>IF(Source!BI117=4,I203,0)</f>
        <v>0</v>
      </c>
    </row>
    <row r="206" spans="1:27" ht="114" x14ac:dyDescent="0.2">
      <c r="A206" s="23" t="str">
        <f>Source!E118</f>
        <v>21</v>
      </c>
      <c r="B206" s="24" t="str">
        <f>Source!F118</f>
        <v>1.23-7-217</v>
      </c>
      <c r="C206" s="24" t="s">
        <v>192</v>
      </c>
      <c r="D206" s="25" t="str">
        <f>Source!H118</f>
        <v>км</v>
      </c>
      <c r="E206" s="10">
        <f>Source!I118</f>
        <v>2.7E-2</v>
      </c>
      <c r="F206" s="27">
        <f>Source!AL118</f>
        <v>99361.96</v>
      </c>
      <c r="G206" s="26" t="str">
        <f>Source!DD118</f>
        <v/>
      </c>
      <c r="H206" s="10">
        <f>Source!AW118</f>
        <v>1</v>
      </c>
      <c r="I206" s="28">
        <f>ROUND((ROUND((Source!AC118*Source!AW118*Source!I118),2)),2)</f>
        <v>2682.77</v>
      </c>
      <c r="J206" s="10">
        <f>IF(Source!BC118&lt;&gt; 0, Source!BC118, 1)</f>
        <v>3.43</v>
      </c>
      <c r="K206" s="28">
        <f>Source!P118</f>
        <v>9201.9</v>
      </c>
      <c r="Q206">
        <f>ROUND((Source!DN118/100)*ROUND((ROUND((Source!AF118*Source!AV118*Source!I118),2)),2), 2)</f>
        <v>0</v>
      </c>
      <c r="R206">
        <f>Source!X118</f>
        <v>0</v>
      </c>
      <c r="S206">
        <f>ROUND((Source!DO118/100)*ROUND((ROUND((Source!AF118*Source!AV118*Source!I118),2)),2), 2)</f>
        <v>0</v>
      </c>
      <c r="T206">
        <f>Source!Y118</f>
        <v>0</v>
      </c>
      <c r="U206">
        <f>ROUND((175/100)*ROUND((ROUND((Source!AE118*Source!AV118*Source!I118),2)),2), 2)</f>
        <v>0</v>
      </c>
      <c r="V206">
        <f>ROUND((157/100)*ROUND(ROUND((ROUND((Source!AE118*Source!AV118*Source!I118),2)*Source!BS118),2), 2), 2)</f>
        <v>0</v>
      </c>
    </row>
    <row r="207" spans="1:27" x14ac:dyDescent="0.2">
      <c r="C207" s="32" t="str">
        <f>"Объем: "&amp;Source!I118&amp;"="&amp;Source!I32&amp;"/"&amp;"10"</f>
        <v>Объем: 0,027=0,27/10</v>
      </c>
    </row>
    <row r="208" spans="1:27" ht="15" x14ac:dyDescent="0.25">
      <c r="A208" s="31"/>
      <c r="B208" s="31"/>
      <c r="C208" s="31"/>
      <c r="D208" s="31"/>
      <c r="E208" s="31"/>
      <c r="F208" s="31"/>
      <c r="G208" s="31"/>
      <c r="H208" s="56">
        <f>I206</f>
        <v>2682.77</v>
      </c>
      <c r="I208" s="56"/>
      <c r="J208" s="56">
        <f>K206</f>
        <v>9201.9</v>
      </c>
      <c r="K208" s="56"/>
      <c r="O208" s="30">
        <f>I206</f>
        <v>2682.77</v>
      </c>
      <c r="P208" s="30">
        <f>K206</f>
        <v>9201.9</v>
      </c>
      <c r="X208">
        <f>IF(Source!BI118&lt;=1,I206-0, 0)</f>
        <v>0</v>
      </c>
      <c r="Y208">
        <f>IF(Source!BI118=2,I206-0, 0)</f>
        <v>2682.77</v>
      </c>
      <c r="Z208">
        <f>IF(Source!BI118=3,I206-0, 0)</f>
        <v>0</v>
      </c>
      <c r="AA208">
        <f>IF(Source!BI118=4,I206,0)</f>
        <v>0</v>
      </c>
    </row>
    <row r="209" spans="1:38" ht="99.75" x14ac:dyDescent="0.2">
      <c r="A209" s="23" t="str">
        <f>Source!E119</f>
        <v>22</v>
      </c>
      <c r="B209" s="24" t="str">
        <f>Source!F119</f>
        <v>1.21-5-281</v>
      </c>
      <c r="C209" s="24" t="s">
        <v>196</v>
      </c>
      <c r="D209" s="25" t="str">
        <f>Source!H119</f>
        <v>компл.</v>
      </c>
      <c r="E209" s="10">
        <f>Source!I119</f>
        <v>10</v>
      </c>
      <c r="F209" s="27">
        <f>Source!AL119</f>
        <v>306.16000000000003</v>
      </c>
      <c r="G209" s="26" t="str">
        <f>Source!DD119</f>
        <v/>
      </c>
      <c r="H209" s="10">
        <f>Source!AW119</f>
        <v>1</v>
      </c>
      <c r="I209" s="28">
        <f>ROUND((ROUND((Source!AC119*Source!AW119*Source!I119),2)),2)</f>
        <v>3061.6</v>
      </c>
      <c r="J209" s="10">
        <f>IF(Source!BC119&lt;&gt; 0, Source!BC119, 1)</f>
        <v>3.02</v>
      </c>
      <c r="K209" s="28">
        <f>Source!P119</f>
        <v>9246.0300000000007</v>
      </c>
      <c r="Q209">
        <f>ROUND((Source!DN119/100)*ROUND((ROUND((Source!AF119*Source!AV119*Source!I119),2)),2), 2)</f>
        <v>0</v>
      </c>
      <c r="R209">
        <f>Source!X119</f>
        <v>0</v>
      </c>
      <c r="S209">
        <f>ROUND((Source!DO119/100)*ROUND((ROUND((Source!AF119*Source!AV119*Source!I119),2)),2), 2)</f>
        <v>0</v>
      </c>
      <c r="T209">
        <f>Source!Y119</f>
        <v>0</v>
      </c>
      <c r="U209">
        <f>ROUND((175/100)*ROUND((ROUND((Source!AE119*Source!AV119*Source!I119),2)),2), 2)</f>
        <v>0</v>
      </c>
      <c r="V209">
        <f>ROUND((157/100)*ROUND(ROUND((ROUND((Source!AE119*Source!AV119*Source!I119),2)*Source!BS119),2), 2), 2)</f>
        <v>0</v>
      </c>
    </row>
    <row r="210" spans="1:38" ht="15" x14ac:dyDescent="0.25">
      <c r="A210" s="31"/>
      <c r="B210" s="31"/>
      <c r="C210" s="31"/>
      <c r="D210" s="31"/>
      <c r="E210" s="31"/>
      <c r="F210" s="31"/>
      <c r="G210" s="31"/>
      <c r="H210" s="56">
        <f>I209</f>
        <v>3061.6</v>
      </c>
      <c r="I210" s="56"/>
      <c r="J210" s="56">
        <f>K209</f>
        <v>9246.0300000000007</v>
      </c>
      <c r="K210" s="56"/>
      <c r="O210" s="30">
        <f>I209</f>
        <v>3061.6</v>
      </c>
      <c r="P210" s="30">
        <f>K209</f>
        <v>9246.0300000000007</v>
      </c>
      <c r="X210">
        <f>IF(Source!BI119&lt;=1,I209-0, 0)</f>
        <v>0</v>
      </c>
      <c r="Y210">
        <f>IF(Source!BI119=2,I209-0, 0)</f>
        <v>3061.6</v>
      </c>
      <c r="Z210">
        <f>IF(Source!BI119=3,I209-0, 0)</f>
        <v>0</v>
      </c>
      <c r="AA210">
        <f>IF(Source!BI119=4,I209,0)</f>
        <v>0</v>
      </c>
    </row>
    <row r="211" spans="1:38" ht="28.5" x14ac:dyDescent="0.2">
      <c r="A211" s="23" t="str">
        <f>Source!E120</f>
        <v>23</v>
      </c>
      <c r="B211" s="24" t="str">
        <f>Source!F120</f>
        <v>1.23-16-1</v>
      </c>
      <c r="C211" s="24" t="s">
        <v>201</v>
      </c>
      <c r="D211" s="25" t="str">
        <f>Source!H120</f>
        <v>т</v>
      </c>
      <c r="E211" s="10">
        <f>Source!I120</f>
        <v>1.0999999999999999E-2</v>
      </c>
      <c r="F211" s="27">
        <f>Source!AL120</f>
        <v>31290.95</v>
      </c>
      <c r="G211" s="26" t="str">
        <f>Source!DD120</f>
        <v/>
      </c>
      <c r="H211" s="10">
        <f>Source!AW120</f>
        <v>1</v>
      </c>
      <c r="I211" s="28">
        <f>ROUND((ROUND((Source!AC120*Source!AW120*Source!I120),2)),2)</f>
        <v>344.2</v>
      </c>
      <c r="J211" s="10">
        <f>IF(Source!BC120&lt;&gt; 0, Source!BC120, 1)</f>
        <v>6.31</v>
      </c>
      <c r="K211" s="28">
        <f>Source!P120</f>
        <v>2171.9</v>
      </c>
      <c r="Q211">
        <f>ROUND((Source!DN120/100)*ROUND((ROUND((Source!AF120*Source!AV120*Source!I120),2)),2), 2)</f>
        <v>0</v>
      </c>
      <c r="R211">
        <f>Source!X120</f>
        <v>0</v>
      </c>
      <c r="S211">
        <f>ROUND((Source!DO120/100)*ROUND((ROUND((Source!AF120*Source!AV120*Source!I120),2)),2), 2)</f>
        <v>0</v>
      </c>
      <c r="T211">
        <f>Source!Y120</f>
        <v>0</v>
      </c>
      <c r="U211">
        <f>ROUND((175/100)*ROUND((ROUND((Source!AE120*Source!AV120*Source!I120),2)),2), 2)</f>
        <v>0</v>
      </c>
      <c r="V211">
        <f>ROUND((157/100)*ROUND(ROUND((ROUND((Source!AE120*Source!AV120*Source!I120),2)*Source!BS120),2), 2), 2)</f>
        <v>0</v>
      </c>
    </row>
    <row r="212" spans="1:38" ht="15" x14ac:dyDescent="0.25">
      <c r="A212" s="31"/>
      <c r="B212" s="31"/>
      <c r="C212" s="31"/>
      <c r="D212" s="31"/>
      <c r="E212" s="31"/>
      <c r="F212" s="31"/>
      <c r="G212" s="31"/>
      <c r="H212" s="56">
        <f>I211</f>
        <v>344.2</v>
      </c>
      <c r="I212" s="56"/>
      <c r="J212" s="56">
        <f>K211</f>
        <v>2171.9</v>
      </c>
      <c r="K212" s="56"/>
      <c r="O212" s="30">
        <f>I211</f>
        <v>344.2</v>
      </c>
      <c r="P212" s="30">
        <f>K211</f>
        <v>2171.9</v>
      </c>
      <c r="X212">
        <f>IF(Source!BI120&lt;=1,I211-0, 0)</f>
        <v>0</v>
      </c>
      <c r="Y212">
        <f>IF(Source!BI120=2,I211-0, 0)</f>
        <v>344.2</v>
      </c>
      <c r="Z212">
        <f>IF(Source!BI120=3,I211-0, 0)</f>
        <v>0</v>
      </c>
      <c r="AA212">
        <f>IF(Source!BI120=4,I211,0)</f>
        <v>0</v>
      </c>
    </row>
    <row r="213" spans="1:38" ht="57" x14ac:dyDescent="0.2">
      <c r="A213" s="23" t="str">
        <f>Source!E121</f>
        <v>24</v>
      </c>
      <c r="B213" s="24" t="str">
        <f>Source!F121</f>
        <v>Накладная №12 от 18.07.2019.</v>
      </c>
      <c r="C213" s="24" t="s">
        <v>205</v>
      </c>
      <c r="D213" s="25" t="str">
        <f>Source!H121</f>
        <v>КОМПЛЕКТ</v>
      </c>
      <c r="E213" s="10">
        <f>Source!I121</f>
        <v>1</v>
      </c>
      <c r="F213" s="27">
        <f>Source!AL121</f>
        <v>519757.17</v>
      </c>
      <c r="G213" s="26" t="str">
        <f>Source!DD121</f>
        <v/>
      </c>
      <c r="H213" s="10">
        <f>Source!AW121</f>
        <v>1</v>
      </c>
      <c r="I213" s="28">
        <f>ROUND((ROUND((Source!AC121*Source!AW121*Source!I121),2)),2)</f>
        <v>519757.17</v>
      </c>
      <c r="J213" s="10">
        <f>IF(Source!BC121&lt;&gt; 0, Source!BC121, 1)</f>
        <v>1</v>
      </c>
      <c r="K213" s="28">
        <f>Source!P121</f>
        <v>519757.17</v>
      </c>
      <c r="Q213">
        <f>ROUND((Source!DN121/100)*ROUND((ROUND((Source!AF121*Source!AV121*Source!I121),2)),2), 2)</f>
        <v>0</v>
      </c>
      <c r="R213">
        <f>Source!X121</f>
        <v>0</v>
      </c>
      <c r="S213">
        <f>ROUND((Source!DO121/100)*ROUND((ROUND((Source!AF121*Source!AV121*Source!I121),2)),2), 2)</f>
        <v>0</v>
      </c>
      <c r="T213">
        <f>Source!Y121</f>
        <v>0</v>
      </c>
      <c r="U213">
        <f>ROUND((175/100)*ROUND((ROUND((Source!AE121*Source!AV121*Source!I121),2)),2), 2)</f>
        <v>0</v>
      </c>
      <c r="V213">
        <f>ROUND((157/100)*ROUND(ROUND((ROUND((Source!AE121*Source!AV121*Source!I121),2)*Source!BS121),2), 2), 2)</f>
        <v>0</v>
      </c>
    </row>
    <row r="214" spans="1:38" ht="15" x14ac:dyDescent="0.25">
      <c r="A214" s="31"/>
      <c r="B214" s="31"/>
      <c r="C214" s="31"/>
      <c r="D214" s="31"/>
      <c r="E214" s="31"/>
      <c r="F214" s="31"/>
      <c r="G214" s="31"/>
      <c r="H214" s="56">
        <f>I213</f>
        <v>519757.17</v>
      </c>
      <c r="I214" s="56"/>
      <c r="J214" s="56">
        <f>K213</f>
        <v>519757.17</v>
      </c>
      <c r="K214" s="56"/>
      <c r="O214" s="30">
        <f>I213</f>
        <v>519757.17</v>
      </c>
      <c r="P214" s="30">
        <f>K213</f>
        <v>519757.17</v>
      </c>
      <c r="X214">
        <f>IF(Source!BI121&lt;=1,I213-0, 0)</f>
        <v>0</v>
      </c>
      <c r="Y214">
        <f>IF(Source!BI121=2,I213-0, 0)</f>
        <v>0</v>
      </c>
      <c r="Z214">
        <f>IF(Source!BI121=3,I213-0, 0)</f>
        <v>0</v>
      </c>
      <c r="AA214">
        <f>IF(Source!BI121=4,I213,0)</f>
        <v>519757.17</v>
      </c>
    </row>
    <row r="216" spans="1:38" ht="15" x14ac:dyDescent="0.25">
      <c r="A216" s="55" t="str">
        <f>CONCATENATE("Итого по разделу: ",IF(Source!G123&lt;&gt;"Новый раздел", Source!G123, ""))</f>
        <v>Итого по разделу: Материалы, не учтенные ценником и оборудование.</v>
      </c>
      <c r="B216" s="55"/>
      <c r="C216" s="55"/>
      <c r="D216" s="55"/>
      <c r="E216" s="55"/>
      <c r="F216" s="55"/>
      <c r="G216" s="55"/>
      <c r="H216" s="53">
        <f>SUM(O202:O215)</f>
        <v>526623.47</v>
      </c>
      <c r="I216" s="54"/>
      <c r="J216" s="53">
        <f>SUM(P202:P215)</f>
        <v>546637.73</v>
      </c>
      <c r="K216" s="54"/>
      <c r="AL216" s="34" t="str">
        <f>CONCATENATE("Итого по разделу: ",IF(Source!G123&lt;&gt;"Новый раздел", Source!G123, ""))</f>
        <v>Итого по разделу: Материалы, не учтенные ценником и оборудование.</v>
      </c>
    </row>
    <row r="217" spans="1:38" hidden="1" x14ac:dyDescent="0.2">
      <c r="A217" t="s">
        <v>262</v>
      </c>
      <c r="H217">
        <f>SUM(AC202:AC216)</f>
        <v>0</v>
      </c>
      <c r="J217">
        <f>SUM(AD202:AD216)</f>
        <v>0</v>
      </c>
    </row>
    <row r="218" spans="1:38" hidden="1" x14ac:dyDescent="0.2">
      <c r="A218" t="s">
        <v>263</v>
      </c>
      <c r="H218">
        <f>SUM(AE202:AE217)</f>
        <v>0</v>
      </c>
      <c r="J218">
        <f>SUM(AF202:AF217)</f>
        <v>0</v>
      </c>
    </row>
    <row r="220" spans="1:38" ht="15" x14ac:dyDescent="0.25">
      <c r="A220" s="55" t="str">
        <f>CONCATENATE("Итого по локальной смете: ",IF(Source!G153&lt;&gt;"Новая локальная смета", Source!G153, ""))</f>
        <v>Итого по локальной смете: Реконструкция. Замена 3 панелей РУ-0,4 кВ.</v>
      </c>
      <c r="B220" s="55"/>
      <c r="C220" s="55"/>
      <c r="D220" s="55"/>
      <c r="E220" s="55"/>
      <c r="F220" s="55"/>
      <c r="G220" s="55"/>
      <c r="H220" s="53">
        <f>SUM(O33:O219)</f>
        <v>537615.66</v>
      </c>
      <c r="I220" s="54"/>
      <c r="J220" s="53">
        <f>SUM(P33:P219)</f>
        <v>730052.5</v>
      </c>
      <c r="K220" s="54"/>
      <c r="AL220" s="34" t="str">
        <f>CONCATENATE("Итого по локальной смете: ",IF(Source!G153&lt;&gt;"Новая локальная смета", Source!G153, ""))</f>
        <v>Итого по локальной смете: Реконструкция. Замена 3 панелей РУ-0,4 кВ.</v>
      </c>
    </row>
    <row r="221" spans="1:38" hidden="1" x14ac:dyDescent="0.2">
      <c r="A221" t="s">
        <v>262</v>
      </c>
      <c r="H221">
        <f>SUM(AC33:AC220)</f>
        <v>0</v>
      </c>
      <c r="J221">
        <f>SUM(AD33:AD220)</f>
        <v>0</v>
      </c>
    </row>
    <row r="222" spans="1:38" hidden="1" x14ac:dyDescent="0.2">
      <c r="A222" t="s">
        <v>263</v>
      </c>
      <c r="H222">
        <f>SUM(AE33:AE221)</f>
        <v>0</v>
      </c>
      <c r="J222">
        <f>SUM(AF33:AF221)</f>
        <v>0</v>
      </c>
    </row>
    <row r="224" spans="1:38" ht="15" x14ac:dyDescent="0.25">
      <c r="A224" s="55" t="str">
        <f>CONCATENATE("Итого по смете: ",IF(Source!G183&lt;&gt;"Новый объект", Source!G183, ""))</f>
        <v>Итого по смете: ТП-533. Реконструкция. Замена 3 панелей РУ-0,4 кВ.</v>
      </c>
      <c r="B224" s="55"/>
      <c r="C224" s="55"/>
      <c r="D224" s="55"/>
      <c r="E224" s="55"/>
      <c r="F224" s="55"/>
      <c r="G224" s="55"/>
      <c r="H224" s="53">
        <f>SUM(O1:O223)</f>
        <v>537615.66</v>
      </c>
      <c r="I224" s="54"/>
      <c r="J224" s="53">
        <f>SUM(P1:P223)</f>
        <v>730052.5</v>
      </c>
      <c r="K224" s="54"/>
      <c r="AL224" s="34" t="str">
        <f>CONCATENATE("Итого по смете: ",IF(Source!G183&lt;&gt;"Новый объект", Source!G183, ""))</f>
        <v>Итого по смете: ТП-533. Реконструкция. Замена 3 панелей РУ-0,4 кВ.</v>
      </c>
    </row>
    <row r="225" spans="1:11" hidden="1" x14ac:dyDescent="0.2">
      <c r="A225" t="s">
        <v>262</v>
      </c>
      <c r="H225">
        <f>SUM(AC1:AC224)</f>
        <v>0</v>
      </c>
      <c r="J225">
        <f>SUM(AD1:AD224)</f>
        <v>0</v>
      </c>
    </row>
    <row r="226" spans="1:11" hidden="1" x14ac:dyDescent="0.2">
      <c r="A226" t="s">
        <v>263</v>
      </c>
      <c r="H226">
        <f>SUM(AE1:AE225)</f>
        <v>0</v>
      </c>
      <c r="J226">
        <f>SUM(AF1:AF225)</f>
        <v>0</v>
      </c>
    </row>
    <row r="227" spans="1:11" ht="14.25" x14ac:dyDescent="0.2">
      <c r="C227" s="49" t="str">
        <f>Source!H212</f>
        <v>Итого</v>
      </c>
      <c r="D227" s="49"/>
      <c r="E227" s="49"/>
      <c r="F227" s="49"/>
      <c r="G227" s="49"/>
      <c r="H227" s="49"/>
      <c r="I227" s="49"/>
      <c r="J227" s="50">
        <f>IF(Source!F212=0, "", Source!F212)</f>
        <v>730052.5</v>
      </c>
      <c r="K227" s="50"/>
    </row>
    <row r="228" spans="1:11" ht="14.25" x14ac:dyDescent="0.2">
      <c r="C228" s="49" t="str">
        <f>Source!H213</f>
        <v>НДС 20%</v>
      </c>
      <c r="D228" s="49"/>
      <c r="E228" s="49"/>
      <c r="F228" s="49"/>
      <c r="G228" s="49"/>
      <c r="H228" s="49"/>
      <c r="I228" s="49"/>
      <c r="J228" s="50">
        <f>IF(Source!F213=0, "", Source!F213)</f>
        <v>146010.5</v>
      </c>
      <c r="K228" s="50"/>
    </row>
    <row r="229" spans="1:11" ht="20.25" customHeight="1" x14ac:dyDescent="0.25">
      <c r="C229" s="49" t="str">
        <f>Source!H214</f>
        <v>Итого с НДС</v>
      </c>
      <c r="D229" s="49"/>
      <c r="E229" s="49"/>
      <c r="F229" s="49"/>
      <c r="G229" s="49"/>
      <c r="H229" s="49"/>
      <c r="I229" s="49"/>
      <c r="J229" s="53">
        <f>IF(Source!F214=0, "", Source!F214)</f>
        <v>876063</v>
      </c>
      <c r="K229" s="53"/>
    </row>
    <row r="232" spans="1:11" ht="14.25" x14ac:dyDescent="0.2">
      <c r="A232" s="51" t="s">
        <v>265</v>
      </c>
      <c r="B232" s="51"/>
      <c r="C232" s="35" t="str">
        <f>IF(Source!AC12&lt;&gt;"", Source!AC12," ")</f>
        <v>Зам.начальника ПТО</v>
      </c>
      <c r="D232" s="35"/>
      <c r="E232" s="35"/>
      <c r="F232" s="35"/>
      <c r="G232" s="35"/>
      <c r="H232" s="52" t="str">
        <f>IF(Source!AB12&lt;&gt;"", Source!AB12," ")</f>
        <v>Алиева И.Е.</v>
      </c>
      <c r="I232" s="52"/>
      <c r="J232" s="52"/>
      <c r="K232" s="52"/>
    </row>
    <row r="233" spans="1:11" ht="14.25" x14ac:dyDescent="0.2">
      <c r="A233" s="11"/>
      <c r="B233" s="11"/>
      <c r="C233" s="48" t="s">
        <v>266</v>
      </c>
      <c r="D233" s="48"/>
      <c r="E233" s="48"/>
      <c r="F233" s="48"/>
      <c r="G233" s="48"/>
      <c r="H233" s="11"/>
      <c r="I233" s="11"/>
      <c r="J233" s="11"/>
      <c r="K233" s="11"/>
    </row>
    <row r="234" spans="1:11" ht="14.25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14.25" x14ac:dyDescent="0.2">
      <c r="A235" s="51" t="s">
        <v>267</v>
      </c>
      <c r="B235" s="51"/>
      <c r="C235" s="35" t="str">
        <f>IF(Source!AE12&lt;&gt;"", Source!AE12," ")</f>
        <v>Главный инженер</v>
      </c>
      <c r="D235" s="35"/>
      <c r="E235" s="35"/>
      <c r="F235" s="35"/>
      <c r="G235" s="35"/>
      <c r="H235" s="52" t="str">
        <f>IF(Source!AD12&lt;&gt;"", Source!AD12," ")</f>
        <v>Алексеев Е.В.</v>
      </c>
      <c r="I235" s="52"/>
      <c r="J235" s="52"/>
      <c r="K235" s="52"/>
    </row>
    <row r="236" spans="1:11" ht="14.25" x14ac:dyDescent="0.2">
      <c r="A236" s="11"/>
      <c r="B236" s="11"/>
      <c r="C236" s="48" t="s">
        <v>266</v>
      </c>
      <c r="D236" s="48"/>
      <c r="E236" s="48"/>
      <c r="F236" s="48"/>
      <c r="G236" s="48"/>
      <c r="H236" s="11"/>
      <c r="I236" s="11"/>
      <c r="J236" s="11"/>
      <c r="K236" s="11"/>
    </row>
  </sheetData>
  <mergeCells count="103">
    <mergeCell ref="A12:K12"/>
    <mergeCell ref="A14:K14"/>
    <mergeCell ref="A16:K16"/>
    <mergeCell ref="A17:K17"/>
    <mergeCell ref="A19:K19"/>
    <mergeCell ref="F21:H21"/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  <mergeCell ref="F28:H28"/>
    <mergeCell ref="A29:K29"/>
    <mergeCell ref="A33:K33"/>
    <mergeCell ref="A35:K35"/>
    <mergeCell ref="J45:K45"/>
    <mergeCell ref="H45:I45"/>
    <mergeCell ref="F22:H22"/>
    <mergeCell ref="F23:H23"/>
    <mergeCell ref="F24:H24"/>
    <mergeCell ref="F25:H25"/>
    <mergeCell ref="F26:H26"/>
    <mergeCell ref="F27:H27"/>
    <mergeCell ref="J86:K86"/>
    <mergeCell ref="H86:I86"/>
    <mergeCell ref="J96:K96"/>
    <mergeCell ref="H96:I96"/>
    <mergeCell ref="J106:K106"/>
    <mergeCell ref="H106:I106"/>
    <mergeCell ref="J55:K55"/>
    <mergeCell ref="H55:I55"/>
    <mergeCell ref="J64:K64"/>
    <mergeCell ref="H64:I64"/>
    <mergeCell ref="J75:K75"/>
    <mergeCell ref="H75:I75"/>
    <mergeCell ref="J138:K138"/>
    <mergeCell ref="H138:I138"/>
    <mergeCell ref="A138:G138"/>
    <mergeCell ref="A142:K142"/>
    <mergeCell ref="J148:K148"/>
    <mergeCell ref="H148:I148"/>
    <mergeCell ref="J117:K117"/>
    <mergeCell ref="H117:I117"/>
    <mergeCell ref="J128:K128"/>
    <mergeCell ref="H128:I128"/>
    <mergeCell ref="J136:K136"/>
    <mergeCell ref="H136:I136"/>
    <mergeCell ref="J172:K172"/>
    <mergeCell ref="H172:I172"/>
    <mergeCell ref="J178:K178"/>
    <mergeCell ref="H178:I178"/>
    <mergeCell ref="J184:K184"/>
    <mergeCell ref="H184:I184"/>
    <mergeCell ref="J154:K154"/>
    <mergeCell ref="H154:I154"/>
    <mergeCell ref="J160:K160"/>
    <mergeCell ref="H160:I160"/>
    <mergeCell ref="J166:K166"/>
    <mergeCell ref="H166:I166"/>
    <mergeCell ref="A198:G198"/>
    <mergeCell ref="A202:K202"/>
    <mergeCell ref="J205:K205"/>
    <mergeCell ref="H205:I205"/>
    <mergeCell ref="J208:K208"/>
    <mergeCell ref="H208:I208"/>
    <mergeCell ref="J190:K190"/>
    <mergeCell ref="H190:I190"/>
    <mergeCell ref="J196:K196"/>
    <mergeCell ref="H196:I196"/>
    <mergeCell ref="J198:K198"/>
    <mergeCell ref="H198:I198"/>
    <mergeCell ref="J216:K216"/>
    <mergeCell ref="H216:I216"/>
    <mergeCell ref="A216:G216"/>
    <mergeCell ref="J220:K220"/>
    <mergeCell ref="H220:I220"/>
    <mergeCell ref="A220:G220"/>
    <mergeCell ref="J210:K210"/>
    <mergeCell ref="H210:I210"/>
    <mergeCell ref="J212:K212"/>
    <mergeCell ref="H212:I212"/>
    <mergeCell ref="J214:K214"/>
    <mergeCell ref="H214:I214"/>
    <mergeCell ref="C236:G236"/>
    <mergeCell ref="C229:I229"/>
    <mergeCell ref="J229:K229"/>
    <mergeCell ref="A232:B232"/>
    <mergeCell ref="H232:K232"/>
    <mergeCell ref="C233:G233"/>
    <mergeCell ref="A235:B235"/>
    <mergeCell ref="H235:K235"/>
    <mergeCell ref="J224:K224"/>
    <mergeCell ref="H224:I224"/>
    <mergeCell ref="A224:G224"/>
    <mergeCell ref="C227:I227"/>
    <mergeCell ref="J227:K227"/>
    <mergeCell ref="C228:I228"/>
    <mergeCell ref="J228:K228"/>
  </mergeCells>
  <pageMargins left="0.4" right="0.2" top="0.2" bottom="0.4" header="0.2" footer="0.2"/>
  <pageSetup paperSize="9" scale="72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3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1.28515625" bestFit="1" customWidth="1"/>
    <col min="8" max="8" width="8.7109375" bestFit="1" customWidth="1"/>
    <col min="9" max="9" width="10" bestFit="1" customWidth="1"/>
    <col min="10" max="10" width="11.28515625" bestFit="1" customWidth="1"/>
    <col min="11" max="11" width="9.140625" bestFit="1" customWidth="1"/>
    <col min="12" max="12" width="11.28515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3"/>
      <c r="D2" s="33"/>
      <c r="E2" s="33"/>
      <c r="F2" s="11"/>
      <c r="G2" s="11"/>
      <c r="H2" s="11"/>
      <c r="I2" s="89" t="s">
        <v>268</v>
      </c>
      <c r="J2" s="89"/>
      <c r="K2" s="89"/>
      <c r="L2" s="89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9" t="s">
        <v>269</v>
      </c>
      <c r="J3" s="89"/>
      <c r="K3" s="89"/>
      <c r="L3" s="89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9" t="s">
        <v>270</v>
      </c>
      <c r="J4" s="89"/>
      <c r="K4" s="89"/>
      <c r="L4" s="89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8" t="s">
        <v>271</v>
      </c>
      <c r="K6" s="78"/>
      <c r="L6" s="78"/>
    </row>
    <row r="7" spans="1:36" ht="14.25" x14ac:dyDescent="0.2">
      <c r="A7" s="11"/>
      <c r="B7" s="11"/>
      <c r="C7" s="11"/>
      <c r="D7" s="11"/>
      <c r="E7" s="11"/>
      <c r="F7" s="11"/>
      <c r="G7" s="11"/>
      <c r="H7" s="67" t="s">
        <v>272</v>
      </c>
      <c r="I7" s="77"/>
      <c r="J7" s="90" t="s">
        <v>273</v>
      </c>
      <c r="K7" s="90"/>
      <c r="L7" s="90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8" t="str">
        <f>IF(Source!AT15 &lt;&gt; "", Source!AT15, "")</f>
        <v/>
      </c>
      <c r="K8" s="78"/>
      <c r="L8" s="78"/>
    </row>
    <row r="9" spans="1:36" ht="14.25" x14ac:dyDescent="0.2">
      <c r="A9" s="11" t="s">
        <v>274</v>
      </c>
      <c r="B9" s="11"/>
      <c r="C9" s="60" t="str">
        <f>IF(Source!BA15 &lt;&gt; "", Source!BA15, IF(Source!AU15 &lt;&gt; "", Source!AU15, ""))</f>
        <v/>
      </c>
      <c r="D9" s="60"/>
      <c r="E9" s="60"/>
      <c r="F9" s="60"/>
      <c r="G9" s="60"/>
      <c r="H9" s="60"/>
      <c r="I9" s="10" t="s">
        <v>275</v>
      </c>
      <c r="J9" s="78"/>
      <c r="K9" s="78"/>
      <c r="L9" s="78"/>
    </row>
    <row r="10" spans="1:36" ht="14.25" x14ac:dyDescent="0.2">
      <c r="A10" s="11"/>
      <c r="B10" s="11"/>
      <c r="C10" s="48" t="s">
        <v>276</v>
      </c>
      <c r="D10" s="48"/>
      <c r="E10" s="48"/>
      <c r="F10" s="48"/>
      <c r="G10" s="48"/>
      <c r="H10" s="48"/>
      <c r="I10" s="11"/>
      <c r="J10" s="78" t="str">
        <f>IF(Source!AK15 &lt;&gt; "", Source!AK15, "")</f>
        <v/>
      </c>
      <c r="K10" s="78"/>
      <c r="L10" s="78"/>
    </row>
    <row r="11" spans="1:36" ht="14.25" x14ac:dyDescent="0.2">
      <c r="A11" s="11" t="s">
        <v>277</v>
      </c>
      <c r="B11" s="11"/>
      <c r="C11" s="60" t="str">
        <f>IF(Source!AX12&lt;&gt; "", Source!AX12, IF(Source!AJ12 &lt;&gt; "", Source!AJ12, ""))</f>
        <v>МУП "Троицкая электросеть", г. Москва, г. Троицк, ул. Лесная, д. 6.</v>
      </c>
      <c r="D11" s="60"/>
      <c r="E11" s="60"/>
      <c r="F11" s="60"/>
      <c r="G11" s="60"/>
      <c r="H11" s="60"/>
      <c r="I11" s="10" t="s">
        <v>275</v>
      </c>
      <c r="J11" s="78"/>
      <c r="K11" s="78"/>
      <c r="L11" s="78"/>
      <c r="AJ11" s="22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8" t="s">
        <v>276</v>
      </c>
      <c r="D12" s="48"/>
      <c r="E12" s="48"/>
      <c r="F12" s="48"/>
      <c r="G12" s="48"/>
      <c r="H12" s="48"/>
      <c r="I12" s="11"/>
      <c r="J12" s="78" t="str">
        <f>IF(Source!AO15 &lt;&gt; "", Source!AO15, "")</f>
        <v/>
      </c>
      <c r="K12" s="78"/>
      <c r="L12" s="78"/>
    </row>
    <row r="13" spans="1:36" ht="14.25" x14ac:dyDescent="0.2">
      <c r="A13" s="11" t="s">
        <v>278</v>
      </c>
      <c r="B13" s="11"/>
      <c r="C13" s="60" t="str">
        <f>IF(Source!AY12&lt;&gt; "", Source!AY12, IF(Source!AN12 &lt;&gt; "", Source!AN12, ""))</f>
        <v/>
      </c>
      <c r="D13" s="60"/>
      <c r="E13" s="60"/>
      <c r="F13" s="60"/>
      <c r="G13" s="60"/>
      <c r="H13" s="60"/>
      <c r="I13" s="10" t="s">
        <v>275</v>
      </c>
      <c r="J13" s="78"/>
      <c r="K13" s="78"/>
      <c r="L13" s="78"/>
    </row>
    <row r="14" spans="1:36" ht="14.25" x14ac:dyDescent="0.2">
      <c r="A14" s="11"/>
      <c r="B14" s="11"/>
      <c r="C14" s="48" t="s">
        <v>276</v>
      </c>
      <c r="D14" s="48"/>
      <c r="E14" s="48"/>
      <c r="F14" s="48"/>
      <c r="G14" s="48"/>
      <c r="H14" s="48"/>
      <c r="I14" s="11"/>
      <c r="J14" s="78" t="str">
        <f>IF(Source!CO15 &lt;&gt; "", Source!CO15, "")</f>
        <v/>
      </c>
      <c r="K14" s="78"/>
      <c r="L14" s="78"/>
    </row>
    <row r="15" spans="1:36" ht="14.25" x14ac:dyDescent="0.2">
      <c r="A15" s="11" t="s">
        <v>279</v>
      </c>
      <c r="B15" s="11"/>
      <c r="C15" s="60" t="s">
        <v>4</v>
      </c>
      <c r="D15" s="60"/>
      <c r="E15" s="60"/>
      <c r="F15" s="60"/>
      <c r="G15" s="60"/>
      <c r="H15" s="60"/>
      <c r="I15" s="11"/>
      <c r="J15" s="78"/>
      <c r="K15" s="78"/>
      <c r="L15" s="78"/>
      <c r="AJ15" s="22" t="s">
        <v>4</v>
      </c>
    </row>
    <row r="16" spans="1:36" ht="14.25" x14ac:dyDescent="0.2">
      <c r="A16" s="11"/>
      <c r="B16" s="11"/>
      <c r="C16" s="48" t="s">
        <v>280</v>
      </c>
      <c r="D16" s="48"/>
      <c r="E16" s="48"/>
      <c r="F16" s="48"/>
      <c r="G16" s="48"/>
      <c r="H16" s="48"/>
      <c r="I16" s="11"/>
      <c r="J16" s="78" t="str">
        <f>IF(Source!CP15 &lt;&gt; "", Source!CP15, "")</f>
        <v/>
      </c>
      <c r="K16" s="78"/>
      <c r="L16" s="78"/>
    </row>
    <row r="17" spans="1:36" ht="14.25" x14ac:dyDescent="0.2">
      <c r="A17" s="11" t="s">
        <v>281</v>
      </c>
      <c r="B17" s="11"/>
      <c r="C17" s="66" t="str">
        <f>IF(Source!G12&lt;&gt;"Новый объект", Source!G12, "")</f>
        <v>ТП-533. Реконструкция. Замена 3 панелей РУ-0,4 кВ.</v>
      </c>
      <c r="D17" s="66"/>
      <c r="E17" s="66"/>
      <c r="F17" s="66"/>
      <c r="G17" s="66"/>
      <c r="H17" s="66"/>
      <c r="I17" s="11"/>
      <c r="J17" s="78"/>
      <c r="K17" s="78"/>
      <c r="L17" s="78"/>
      <c r="AJ17" s="42" t="str">
        <f>IF(Source!G12&lt;&gt;"Новый объект", Source!G12, "")</f>
        <v>ТП-533. Реконструкция. Замена 3 панелей РУ-0,4 кВ.</v>
      </c>
    </row>
    <row r="18" spans="1:36" ht="14.25" x14ac:dyDescent="0.2">
      <c r="A18" s="11"/>
      <c r="B18" s="11"/>
      <c r="C18" s="48" t="s">
        <v>282</v>
      </c>
      <c r="D18" s="48"/>
      <c r="E18" s="48"/>
      <c r="F18" s="48"/>
      <c r="G18" s="48"/>
      <c r="H18" s="48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67" t="s">
        <v>283</v>
      </c>
      <c r="H19" s="67"/>
      <c r="I19" s="87"/>
      <c r="J19" s="78" t="str">
        <f>IF(Source!CQ15 &lt;&gt; "", Source!CQ15, "")</f>
        <v/>
      </c>
      <c r="K19" s="78"/>
      <c r="L19" s="78"/>
    </row>
    <row r="20" spans="1:36" ht="14.25" x14ac:dyDescent="0.2">
      <c r="A20" s="11"/>
      <c r="B20" s="11"/>
      <c r="C20" s="11"/>
      <c r="D20" s="11"/>
      <c r="E20" s="11"/>
      <c r="F20" s="11"/>
      <c r="G20" s="67" t="s">
        <v>284</v>
      </c>
      <c r="H20" s="77"/>
      <c r="I20" s="36" t="s">
        <v>285</v>
      </c>
      <c r="J20" s="78" t="str">
        <f>IF(Source!CR15 &lt;&gt; "", Source!CR15, "")</f>
        <v/>
      </c>
      <c r="K20" s="78"/>
      <c r="L20" s="78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37" t="s">
        <v>286</v>
      </c>
      <c r="J21" s="88" t="str">
        <f>IF(Source!CS15 &lt;&gt; 0, Source!CS15, "")</f>
        <v/>
      </c>
      <c r="K21" s="88"/>
      <c r="L21" s="88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67" t="s">
        <v>287</v>
      </c>
      <c r="I22" s="77"/>
      <c r="J22" s="78" t="str">
        <f>IF(Source!CT15 &lt;&gt; "", Source!CT15, "")</f>
        <v/>
      </c>
      <c r="K22" s="78"/>
      <c r="L22" s="78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79" t="s">
        <v>288</v>
      </c>
      <c r="H24" s="82" t="s">
        <v>289</v>
      </c>
      <c r="I24" s="82" t="s">
        <v>290</v>
      </c>
      <c r="J24" s="84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80"/>
      <c r="H25" s="83"/>
      <c r="I25" s="85"/>
      <c r="J25" s="86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81"/>
      <c r="H26" s="83"/>
      <c r="I26" s="38" t="s">
        <v>291</v>
      </c>
      <c r="J26" s="39" t="s">
        <v>292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40"/>
      <c r="H27" s="41" t="str">
        <f>IF(Source!CX15 &lt;&gt; 0, Source!CX15, "")</f>
        <v/>
      </c>
      <c r="I27" s="41" t="str">
        <f>IF(Source!CV15 &lt;&gt; 0, Source!CV15, "")</f>
        <v/>
      </c>
      <c r="J27" s="41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75" t="s">
        <v>293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36" ht="18" x14ac:dyDescent="0.25">
      <c r="A30" s="75" t="s">
        <v>294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295</v>
      </c>
      <c r="B32" s="11"/>
      <c r="C32" s="11"/>
      <c r="D32" s="11"/>
      <c r="E32" s="11"/>
      <c r="F32" s="11"/>
      <c r="G32" s="11"/>
      <c r="H32" s="76">
        <f>(Source!F181/1000)</f>
        <v>730.05250000000001</v>
      </c>
      <c r="I32" s="76"/>
      <c r="J32" s="11" t="s">
        <v>296</v>
      </c>
      <c r="K32" s="11"/>
      <c r="L32" s="11"/>
    </row>
    <row r="33" spans="1:37" ht="14.25" x14ac:dyDescent="0.2">
      <c r="A33" s="60" t="s">
        <v>251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AK33" s="22" t="s">
        <v>251</v>
      </c>
    </row>
    <row r="34" spans="1:37" ht="14.25" x14ac:dyDescent="0.2">
      <c r="A34" s="74" t="s">
        <v>297</v>
      </c>
      <c r="B34" s="74"/>
      <c r="C34" s="74" t="s">
        <v>241</v>
      </c>
      <c r="D34" s="74" t="s">
        <v>242</v>
      </c>
      <c r="E34" s="74" t="s">
        <v>243</v>
      </c>
      <c r="F34" s="74" t="s">
        <v>244</v>
      </c>
      <c r="G34" s="74" t="s">
        <v>245</v>
      </c>
      <c r="H34" s="71" t="s">
        <v>246</v>
      </c>
      <c r="I34" s="71" t="s">
        <v>247</v>
      </c>
      <c r="J34" s="74" t="s">
        <v>248</v>
      </c>
      <c r="K34" s="74" t="s">
        <v>249</v>
      </c>
      <c r="L34" s="74" t="s">
        <v>250</v>
      </c>
    </row>
    <row r="35" spans="1:37" x14ac:dyDescent="0.2">
      <c r="A35" s="71" t="s">
        <v>298</v>
      </c>
      <c r="B35" s="71" t="s">
        <v>299</v>
      </c>
      <c r="C35" s="74"/>
      <c r="D35" s="74"/>
      <c r="E35" s="74"/>
      <c r="F35" s="74"/>
      <c r="G35" s="74"/>
      <c r="H35" s="72"/>
      <c r="I35" s="72"/>
      <c r="J35" s="74"/>
      <c r="K35" s="74"/>
      <c r="L35" s="74"/>
    </row>
    <row r="36" spans="1:37" x14ac:dyDescent="0.2">
      <c r="A36" s="72"/>
      <c r="B36" s="72"/>
      <c r="C36" s="74"/>
      <c r="D36" s="74"/>
      <c r="E36" s="74"/>
      <c r="F36" s="74"/>
      <c r="G36" s="74"/>
      <c r="H36" s="72"/>
      <c r="I36" s="72"/>
      <c r="J36" s="74"/>
      <c r="K36" s="74"/>
      <c r="L36" s="74"/>
    </row>
    <row r="37" spans="1:37" x14ac:dyDescent="0.2">
      <c r="A37" s="72"/>
      <c r="B37" s="72"/>
      <c r="C37" s="74"/>
      <c r="D37" s="74"/>
      <c r="E37" s="74"/>
      <c r="F37" s="74"/>
      <c r="G37" s="74"/>
      <c r="H37" s="72"/>
      <c r="I37" s="72"/>
      <c r="J37" s="74"/>
      <c r="K37" s="74"/>
      <c r="L37" s="74"/>
    </row>
    <row r="38" spans="1:37" x14ac:dyDescent="0.2">
      <c r="A38" s="72"/>
      <c r="B38" s="72"/>
      <c r="C38" s="74"/>
      <c r="D38" s="74"/>
      <c r="E38" s="74"/>
      <c r="F38" s="74"/>
      <c r="G38" s="74"/>
      <c r="H38" s="72"/>
      <c r="I38" s="72"/>
      <c r="J38" s="74"/>
      <c r="K38" s="74"/>
      <c r="L38" s="74"/>
    </row>
    <row r="39" spans="1:37" x14ac:dyDescent="0.2">
      <c r="A39" s="73"/>
      <c r="B39" s="73"/>
      <c r="C39" s="74"/>
      <c r="D39" s="74"/>
      <c r="E39" s="74"/>
      <c r="F39" s="74"/>
      <c r="G39" s="74"/>
      <c r="H39" s="73"/>
      <c r="I39" s="73"/>
      <c r="J39" s="74"/>
      <c r="K39" s="74"/>
      <c r="L39" s="74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57" t="str">
        <f>CONCATENATE("Раздел: ",IF(Source!G24&lt;&gt;"Новый раздел", Source!G24, ""))</f>
        <v>Раздел: Электромонтажные работы.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37" ht="42.75" x14ac:dyDescent="0.2">
      <c r="A43" s="23">
        <v>1</v>
      </c>
      <c r="B43" s="23" t="str">
        <f>Source!E28</f>
        <v>1</v>
      </c>
      <c r="C43" s="24" t="str">
        <f>Source!F28</f>
        <v>4.8-64-3</v>
      </c>
      <c r="D43" s="24" t="s">
        <v>25</v>
      </c>
      <c r="E43" s="25" t="str">
        <f>Source!H28</f>
        <v>т</v>
      </c>
      <c r="F43" s="10">
        <f>Source!I28</f>
        <v>0.11700000000000001</v>
      </c>
      <c r="G43" s="27"/>
      <c r="H43" s="26"/>
      <c r="I43" s="10"/>
      <c r="J43" s="28"/>
      <c r="K43" s="10"/>
      <c r="L43" s="28"/>
      <c r="Q43">
        <f>ROUND((Source!DN28/100)*ROUND((ROUND((Source!AF28*Source!AV28*Source!I28),2)),2), 2)</f>
        <v>113.35</v>
      </c>
      <c r="R43">
        <f>Source!X28</f>
        <v>1900.24</v>
      </c>
      <c r="S43">
        <f>ROUND((Source!DO28/100)*ROUND((ROUND((Source!AF28*Source!AV28*Source!I28),2)),2), 2)</f>
        <v>66.62</v>
      </c>
      <c r="T43">
        <f>Source!Y28</f>
        <v>1011.82</v>
      </c>
      <c r="U43">
        <f>ROUND((175/100)*ROUND((ROUND((Source!AE28*Source!AV28*Source!I28),2)),2), 2)</f>
        <v>17.100000000000001</v>
      </c>
      <c r="V43">
        <f>ROUND((157/100)*ROUND(ROUND((ROUND((Source!AE28*Source!AV28*Source!I28),2)*Source!BS28),2), 2), 2)</f>
        <v>380.71</v>
      </c>
    </row>
    <row r="44" spans="1:37" ht="14.25" x14ac:dyDescent="0.2">
      <c r="A44" s="23"/>
      <c r="B44" s="23"/>
      <c r="C44" s="24"/>
      <c r="D44" s="24" t="s">
        <v>252</v>
      </c>
      <c r="E44" s="25"/>
      <c r="F44" s="10"/>
      <c r="G44" s="27">
        <f>Source!AO28</f>
        <v>676.43</v>
      </c>
      <c r="H44" s="26" t="str">
        <f>Source!DG28</f>
        <v>)*1,2</v>
      </c>
      <c r="I44" s="10">
        <f>Source!AV28</f>
        <v>1.0469999999999999</v>
      </c>
      <c r="J44" s="28">
        <f>ROUND((ROUND((Source!AF28*Source!AV28*Source!I28),2)),2)</f>
        <v>99.43</v>
      </c>
      <c r="K44" s="10">
        <f>IF(Source!BA28&lt;&gt; 0, Source!BA28, 1)</f>
        <v>24.82</v>
      </c>
      <c r="L44" s="28">
        <f>Source!S28</f>
        <v>2467.85</v>
      </c>
      <c r="W44">
        <f>J44</f>
        <v>99.43</v>
      </c>
    </row>
    <row r="45" spans="1:37" ht="14.25" x14ac:dyDescent="0.2">
      <c r="A45" s="23"/>
      <c r="B45" s="23"/>
      <c r="C45" s="24"/>
      <c r="D45" s="24" t="s">
        <v>253</v>
      </c>
      <c r="E45" s="25"/>
      <c r="F45" s="10"/>
      <c r="G45" s="27">
        <f>Source!AM28</f>
        <v>702.69</v>
      </c>
      <c r="H45" s="26" t="str">
        <f>Source!DE28</f>
        <v>)*1,2</v>
      </c>
      <c r="I45" s="10">
        <f>Source!AV28</f>
        <v>1.0469999999999999</v>
      </c>
      <c r="J45" s="28">
        <f>(ROUND((ROUND((((Source!ET28*1.2))*Source!AV28*Source!I28),2)),2)+ROUND((ROUND(((Source!AE28-((Source!EU28*1.2)))*Source!AV28*Source!I28),2)),2))</f>
        <v>103.29</v>
      </c>
      <c r="K45" s="10">
        <f>IF(Source!BB28&lt;&gt; 0, Source!BB28, 1)</f>
        <v>8.2100000000000009</v>
      </c>
      <c r="L45" s="28">
        <f>Source!Q28</f>
        <v>848.01</v>
      </c>
    </row>
    <row r="46" spans="1:37" ht="14.25" x14ac:dyDescent="0.2">
      <c r="A46" s="23"/>
      <c r="B46" s="23"/>
      <c r="C46" s="24"/>
      <c r="D46" s="24" t="s">
        <v>254</v>
      </c>
      <c r="E46" s="25"/>
      <c r="F46" s="10"/>
      <c r="G46" s="27">
        <f>Source!AN28</f>
        <v>66.48</v>
      </c>
      <c r="H46" s="26" t="str">
        <f>Source!DF28</f>
        <v>)*1,2</v>
      </c>
      <c r="I46" s="10">
        <f>Source!AV28</f>
        <v>1.0469999999999999</v>
      </c>
      <c r="J46" s="29">
        <f>ROUND((ROUND((Source!AE28*Source!AV28*Source!I28),2)),2)</f>
        <v>9.77</v>
      </c>
      <c r="K46" s="10">
        <f>IF(Source!BS28&lt;&gt; 0, Source!BS28, 1)</f>
        <v>24.82</v>
      </c>
      <c r="L46" s="29">
        <f>Source!R28</f>
        <v>242.49</v>
      </c>
      <c r="W46">
        <f>J46</f>
        <v>9.77</v>
      </c>
    </row>
    <row r="47" spans="1:37" ht="14.25" x14ac:dyDescent="0.2">
      <c r="A47" s="23"/>
      <c r="B47" s="23"/>
      <c r="C47" s="24"/>
      <c r="D47" s="24" t="s">
        <v>255</v>
      </c>
      <c r="E47" s="25"/>
      <c r="F47" s="10"/>
      <c r="G47" s="27">
        <f>Source!AL28</f>
        <v>5453</v>
      </c>
      <c r="H47" s="26" t="str">
        <f>Source!DD28</f>
        <v/>
      </c>
      <c r="I47" s="10">
        <f>Source!AW28</f>
        <v>1</v>
      </c>
      <c r="J47" s="28">
        <f>ROUND((ROUND((Source!AC28*Source!AW28*Source!I28),2)),2)</f>
        <v>638</v>
      </c>
      <c r="K47" s="10">
        <f>IF(Source!BC28&lt;&gt; 0, Source!BC28, 1)</f>
        <v>5.29</v>
      </c>
      <c r="L47" s="28">
        <f>Source!P28</f>
        <v>3375.02</v>
      </c>
    </row>
    <row r="48" spans="1:37" ht="14.25" x14ac:dyDescent="0.2">
      <c r="A48" s="23"/>
      <c r="B48" s="23"/>
      <c r="C48" s="24"/>
      <c r="D48" s="24" t="s">
        <v>256</v>
      </c>
      <c r="E48" s="25" t="s">
        <v>257</v>
      </c>
      <c r="F48" s="10">
        <f>Source!DN28</f>
        <v>114</v>
      </c>
      <c r="G48" s="27"/>
      <c r="H48" s="26"/>
      <c r="I48" s="10"/>
      <c r="J48" s="28">
        <f>SUM(Q43:Q47)</f>
        <v>113.35</v>
      </c>
      <c r="K48" s="10">
        <f>Source!BZ28</f>
        <v>77</v>
      </c>
      <c r="L48" s="28">
        <f>SUM(R43:R47)</f>
        <v>1900.24</v>
      </c>
    </row>
    <row r="49" spans="1:27" ht="14.25" x14ac:dyDescent="0.2">
      <c r="A49" s="23"/>
      <c r="B49" s="23"/>
      <c r="C49" s="24"/>
      <c r="D49" s="24" t="s">
        <v>258</v>
      </c>
      <c r="E49" s="25" t="s">
        <v>257</v>
      </c>
      <c r="F49" s="10">
        <f>Source!DO28</f>
        <v>67</v>
      </c>
      <c r="G49" s="27"/>
      <c r="H49" s="26"/>
      <c r="I49" s="10"/>
      <c r="J49" s="28">
        <f>SUM(S43:S48)</f>
        <v>66.62</v>
      </c>
      <c r="K49" s="10">
        <f>Source!CA28</f>
        <v>41</v>
      </c>
      <c r="L49" s="28">
        <f>SUM(T43:T48)</f>
        <v>1011.82</v>
      </c>
    </row>
    <row r="50" spans="1:27" ht="14.25" x14ac:dyDescent="0.2">
      <c r="A50" s="23"/>
      <c r="B50" s="23"/>
      <c r="C50" s="24"/>
      <c r="D50" s="24" t="s">
        <v>259</v>
      </c>
      <c r="E50" s="25" t="s">
        <v>257</v>
      </c>
      <c r="F50" s="10">
        <f>175</f>
        <v>175</v>
      </c>
      <c r="G50" s="27"/>
      <c r="H50" s="26"/>
      <c r="I50" s="10"/>
      <c r="J50" s="28">
        <f>SUM(U43:U49)</f>
        <v>17.100000000000001</v>
      </c>
      <c r="K50" s="10">
        <f>157</f>
        <v>157</v>
      </c>
      <c r="L50" s="28">
        <f>SUM(V43:V49)</f>
        <v>380.71</v>
      </c>
    </row>
    <row r="51" spans="1:27" ht="14.25" x14ac:dyDescent="0.2">
      <c r="A51" s="23"/>
      <c r="B51" s="23"/>
      <c r="C51" s="24"/>
      <c r="D51" s="24" t="s">
        <v>260</v>
      </c>
      <c r="E51" s="25" t="s">
        <v>261</v>
      </c>
      <c r="F51" s="10">
        <f>Source!AQ28</f>
        <v>53.6</v>
      </c>
      <c r="G51" s="27"/>
      <c r="H51" s="26" t="str">
        <f>Source!DI28</f>
        <v>)*1,2</v>
      </c>
      <c r="I51" s="10">
        <f>Source!AV28</f>
        <v>1.0469999999999999</v>
      </c>
      <c r="J51" s="28">
        <f>Source!U28</f>
        <v>7.8791356799999992</v>
      </c>
      <c r="K51" s="10"/>
      <c r="L51" s="28"/>
    </row>
    <row r="52" spans="1:27" ht="15" x14ac:dyDescent="0.25">
      <c r="A52" s="31"/>
      <c r="B52" s="31"/>
      <c r="C52" s="31"/>
      <c r="D52" s="31"/>
      <c r="E52" s="31"/>
      <c r="F52" s="31"/>
      <c r="G52" s="31"/>
      <c r="H52" s="31"/>
      <c r="I52" s="56">
        <f>J44+J45+J47+J48+J49+J50</f>
        <v>1037.79</v>
      </c>
      <c r="J52" s="56"/>
      <c r="K52" s="56">
        <f>L44+L45+L47+L48+L49+L50</f>
        <v>9983.6499999999978</v>
      </c>
      <c r="L52" s="56"/>
      <c r="O52" s="30">
        <f>J44+J45+J47+J48+J49+J50</f>
        <v>1037.79</v>
      </c>
      <c r="P52" s="30">
        <f>L44+L45+L47+L48+L49+L50</f>
        <v>9983.6499999999978</v>
      </c>
      <c r="X52">
        <f>IF(Source!BI28&lt;=1,J44+J45+J47+J48+J49+J50-0, 0)</f>
        <v>0</v>
      </c>
      <c r="Y52">
        <f>IF(Source!BI28=2,J44+J45+J47+J48+J49+J50-0, 0)</f>
        <v>1037.79</v>
      </c>
      <c r="Z52">
        <f>IF(Source!BI28=3,J44+J45+J47+J48+J49+J50-0, 0)</f>
        <v>0</v>
      </c>
      <c r="AA52">
        <f>IF(Source!BI28=4,J44+J45+J47+J48+J49+J50,0)</f>
        <v>0</v>
      </c>
    </row>
    <row r="53" spans="1:27" ht="128.25" x14ac:dyDescent="0.2">
      <c r="A53" s="23">
        <v>2</v>
      </c>
      <c r="B53" s="23" t="str">
        <f>Source!E29</f>
        <v>2</v>
      </c>
      <c r="C53" s="24" t="str">
        <f>Source!F29</f>
        <v>4.8-239-7</v>
      </c>
      <c r="D53" s="24" t="s">
        <v>35</v>
      </c>
      <c r="E53" s="25" t="str">
        <f>Source!H29</f>
        <v>шт.</v>
      </c>
      <c r="F53" s="10">
        <f>Source!I29</f>
        <v>3</v>
      </c>
      <c r="G53" s="27"/>
      <c r="H53" s="26"/>
      <c r="I53" s="10"/>
      <c r="J53" s="28"/>
      <c r="K53" s="10"/>
      <c r="L53" s="28"/>
      <c r="Q53">
        <f>ROUND((Source!DN29/100)*ROUND((ROUND((Source!AF29*Source!AV29*Source!I29),2)),2), 2)</f>
        <v>230.14</v>
      </c>
      <c r="R53">
        <f>Source!X29</f>
        <v>3858.21</v>
      </c>
      <c r="S53">
        <f>ROUND((Source!DO29/100)*ROUND((ROUND((Source!AF29*Source!AV29*Source!I29),2)),2), 2)</f>
        <v>135.26</v>
      </c>
      <c r="T53">
        <f>Source!Y29</f>
        <v>2054.37</v>
      </c>
      <c r="U53">
        <f>ROUND((175/100)*ROUND((ROUND((Source!AE29*Source!AV29*Source!I29),2)),2), 2)</f>
        <v>63.91</v>
      </c>
      <c r="V53">
        <f>ROUND((157/100)*ROUND(ROUND((ROUND((Source!AE29*Source!AV29*Source!I29),2)*Source!BS29),2), 2), 2)</f>
        <v>1423.1</v>
      </c>
    </row>
    <row r="54" spans="1:27" ht="14.25" x14ac:dyDescent="0.2">
      <c r="A54" s="23"/>
      <c r="B54" s="23"/>
      <c r="C54" s="24"/>
      <c r="D54" s="24" t="s">
        <v>252</v>
      </c>
      <c r="E54" s="25"/>
      <c r="F54" s="10"/>
      <c r="G54" s="27">
        <f>Source!AO29</f>
        <v>53.56</v>
      </c>
      <c r="H54" s="26" t="str">
        <f>Source!DG29</f>
        <v>)*1,2</v>
      </c>
      <c r="I54" s="10">
        <f>Source!AV29</f>
        <v>1.0469999999999999</v>
      </c>
      <c r="J54" s="28">
        <f>ROUND((ROUND((Source!AF29*Source!AV29*Source!I29),2)),2)</f>
        <v>201.88</v>
      </c>
      <c r="K54" s="10">
        <f>IF(Source!BA29&lt;&gt; 0, Source!BA29, 1)</f>
        <v>24.82</v>
      </c>
      <c r="L54" s="28">
        <f>Source!S29</f>
        <v>5010.66</v>
      </c>
      <c r="W54">
        <f>J54</f>
        <v>201.88</v>
      </c>
    </row>
    <row r="55" spans="1:27" ht="14.25" x14ac:dyDescent="0.2">
      <c r="A55" s="23"/>
      <c r="B55" s="23"/>
      <c r="C55" s="24"/>
      <c r="D55" s="24" t="s">
        <v>253</v>
      </c>
      <c r="E55" s="25"/>
      <c r="F55" s="10"/>
      <c r="G55" s="27">
        <f>Source!AM29</f>
        <v>70.38</v>
      </c>
      <c r="H55" s="26" t="str">
        <f>Source!DE29</f>
        <v>)*1,2</v>
      </c>
      <c r="I55" s="10">
        <f>Source!AV29</f>
        <v>1.0469999999999999</v>
      </c>
      <c r="J55" s="28">
        <f>(ROUND((ROUND((((Source!ET29*1.2))*Source!AV29*Source!I29),2)),2)+ROUND((ROUND(((Source!AE29-((Source!EU29*1.2)))*Source!AV29*Source!I29),2)),2))</f>
        <v>265.27999999999997</v>
      </c>
      <c r="K55" s="10">
        <f>IF(Source!BB29&lt;&gt; 0, Source!BB29, 1)</f>
        <v>8.44</v>
      </c>
      <c r="L55" s="28">
        <f>Source!Q29</f>
        <v>2238.96</v>
      </c>
    </row>
    <row r="56" spans="1:27" ht="14.25" x14ac:dyDescent="0.2">
      <c r="A56" s="23"/>
      <c r="B56" s="23"/>
      <c r="C56" s="24"/>
      <c r="D56" s="24" t="s">
        <v>254</v>
      </c>
      <c r="E56" s="25"/>
      <c r="F56" s="10"/>
      <c r="G56" s="27">
        <f>Source!AN29</f>
        <v>9.69</v>
      </c>
      <c r="H56" s="26" t="str">
        <f>Source!DF29</f>
        <v>)*1,2</v>
      </c>
      <c r="I56" s="10">
        <f>Source!AV29</f>
        <v>1.0469999999999999</v>
      </c>
      <c r="J56" s="29">
        <f>ROUND((ROUND((Source!AE29*Source!AV29*Source!I29),2)),2)</f>
        <v>36.520000000000003</v>
      </c>
      <c r="K56" s="10">
        <f>IF(Source!BS29&lt;&gt; 0, Source!BS29, 1)</f>
        <v>24.82</v>
      </c>
      <c r="L56" s="29">
        <f>Source!R29</f>
        <v>906.43</v>
      </c>
      <c r="W56">
        <f>J56</f>
        <v>36.520000000000003</v>
      </c>
    </row>
    <row r="57" spans="1:27" ht="14.25" x14ac:dyDescent="0.2">
      <c r="A57" s="23"/>
      <c r="B57" s="23"/>
      <c r="C57" s="24"/>
      <c r="D57" s="24" t="s">
        <v>255</v>
      </c>
      <c r="E57" s="25"/>
      <c r="F57" s="10"/>
      <c r="G57" s="27">
        <f>Source!AL29</f>
        <v>153.30000000000001</v>
      </c>
      <c r="H57" s="26" t="str">
        <f>Source!DD29</f>
        <v/>
      </c>
      <c r="I57" s="10">
        <f>Source!AW29</f>
        <v>1</v>
      </c>
      <c r="J57" s="28">
        <f>ROUND((ROUND((Source!AC29*Source!AW29*Source!I29),2)),2)</f>
        <v>459.9</v>
      </c>
      <c r="K57" s="10">
        <f>IF(Source!BC29&lt;&gt; 0, Source!BC29, 1)</f>
        <v>5.29</v>
      </c>
      <c r="L57" s="28">
        <f>Source!P29</f>
        <v>2432.87</v>
      </c>
    </row>
    <row r="58" spans="1:27" ht="14.25" x14ac:dyDescent="0.2">
      <c r="A58" s="23"/>
      <c r="B58" s="23"/>
      <c r="C58" s="24"/>
      <c r="D58" s="24" t="s">
        <v>256</v>
      </c>
      <c r="E58" s="25" t="s">
        <v>257</v>
      </c>
      <c r="F58" s="10">
        <f>Source!DN29</f>
        <v>114</v>
      </c>
      <c r="G58" s="27"/>
      <c r="H58" s="26"/>
      <c r="I58" s="10"/>
      <c r="J58" s="28">
        <f>SUM(Q53:Q57)</f>
        <v>230.14</v>
      </c>
      <c r="K58" s="10">
        <f>Source!BZ29</f>
        <v>77</v>
      </c>
      <c r="L58" s="28">
        <f>SUM(R53:R57)</f>
        <v>3858.21</v>
      </c>
    </row>
    <row r="59" spans="1:27" ht="14.25" x14ac:dyDescent="0.2">
      <c r="A59" s="23"/>
      <c r="B59" s="23"/>
      <c r="C59" s="24"/>
      <c r="D59" s="24" t="s">
        <v>258</v>
      </c>
      <c r="E59" s="25" t="s">
        <v>257</v>
      </c>
      <c r="F59" s="10">
        <f>Source!DO29</f>
        <v>67</v>
      </c>
      <c r="G59" s="27"/>
      <c r="H59" s="26"/>
      <c r="I59" s="10"/>
      <c r="J59" s="28">
        <f>SUM(S53:S58)</f>
        <v>135.26</v>
      </c>
      <c r="K59" s="10">
        <f>Source!CA29</f>
        <v>41</v>
      </c>
      <c r="L59" s="28">
        <f>SUM(T53:T58)</f>
        <v>2054.37</v>
      </c>
    </row>
    <row r="60" spans="1:27" ht="14.25" x14ac:dyDescent="0.2">
      <c r="A60" s="23"/>
      <c r="B60" s="23"/>
      <c r="C60" s="24"/>
      <c r="D60" s="24" t="s">
        <v>259</v>
      </c>
      <c r="E60" s="25" t="s">
        <v>257</v>
      </c>
      <c r="F60" s="10">
        <f>175</f>
        <v>175</v>
      </c>
      <c r="G60" s="27"/>
      <c r="H60" s="26"/>
      <c r="I60" s="10"/>
      <c r="J60" s="28">
        <f>SUM(U53:U59)</f>
        <v>63.91</v>
      </c>
      <c r="K60" s="10">
        <f>157</f>
        <v>157</v>
      </c>
      <c r="L60" s="28">
        <f>SUM(V53:V59)</f>
        <v>1423.1</v>
      </c>
    </row>
    <row r="61" spans="1:27" ht="14.25" x14ac:dyDescent="0.2">
      <c r="A61" s="23"/>
      <c r="B61" s="23"/>
      <c r="C61" s="24"/>
      <c r="D61" s="24" t="s">
        <v>260</v>
      </c>
      <c r="E61" s="25" t="s">
        <v>261</v>
      </c>
      <c r="F61" s="10">
        <f>Source!AQ29</f>
        <v>4.12</v>
      </c>
      <c r="G61" s="27"/>
      <c r="H61" s="26" t="str">
        <f>Source!DI29</f>
        <v>)*1,2</v>
      </c>
      <c r="I61" s="10">
        <f>Source!AV29</f>
        <v>1.0469999999999999</v>
      </c>
      <c r="J61" s="28">
        <f>Source!U29</f>
        <v>15.529103999999997</v>
      </c>
      <c r="K61" s="10"/>
      <c r="L61" s="28"/>
    </row>
    <row r="62" spans="1:27" ht="15" x14ac:dyDescent="0.25">
      <c r="A62" s="31"/>
      <c r="B62" s="31"/>
      <c r="C62" s="31"/>
      <c r="D62" s="31"/>
      <c r="E62" s="31"/>
      <c r="F62" s="31"/>
      <c r="G62" s="31"/>
      <c r="H62" s="31"/>
      <c r="I62" s="56">
        <f>J54+J55+J57+J58+J59+J60</f>
        <v>1356.37</v>
      </c>
      <c r="J62" s="56"/>
      <c r="K62" s="56">
        <f>L54+L55+L57+L58+L59+L60</f>
        <v>17018.169999999998</v>
      </c>
      <c r="L62" s="56"/>
      <c r="O62" s="30">
        <f>J54+J55+J57+J58+J59+J60</f>
        <v>1356.37</v>
      </c>
      <c r="P62" s="30">
        <f>L54+L55+L57+L58+L59+L60</f>
        <v>17018.169999999998</v>
      </c>
      <c r="X62">
        <f>IF(Source!BI29&lt;=1,J54+J55+J57+J58+J59+J60-0, 0)</f>
        <v>0</v>
      </c>
      <c r="Y62">
        <f>IF(Source!BI29=2,J54+J55+J57+J58+J59+J60-0, 0)</f>
        <v>1356.37</v>
      </c>
      <c r="Z62">
        <f>IF(Source!BI29=3,J54+J55+J57+J58+J59+J60-0, 0)</f>
        <v>0</v>
      </c>
      <c r="AA62">
        <f>IF(Source!BI29=4,J54+J55+J57+J58+J59+J60,0)</f>
        <v>0</v>
      </c>
    </row>
    <row r="63" spans="1:27" ht="128.25" x14ac:dyDescent="0.2">
      <c r="A63" s="23">
        <v>3</v>
      </c>
      <c r="B63" s="23" t="str">
        <f>Source!E30</f>
        <v>3</v>
      </c>
      <c r="C63" s="24" t="str">
        <f>Source!F30</f>
        <v>4.8-239-7</v>
      </c>
      <c r="D63" s="24" t="s">
        <v>41</v>
      </c>
      <c r="E63" s="25" t="str">
        <f>Source!H30</f>
        <v>шт.</v>
      </c>
      <c r="F63" s="10">
        <f>Source!I30</f>
        <v>3</v>
      </c>
      <c r="G63" s="27"/>
      <c r="H63" s="26"/>
      <c r="I63" s="10"/>
      <c r="J63" s="28"/>
      <c r="K63" s="10"/>
      <c r="L63" s="28"/>
      <c r="Q63">
        <f>ROUND((Source!DN30/100)*ROUND((ROUND((Source!AF30*Source!AV30*Source!I30),2)),2), 2)</f>
        <v>115.07</v>
      </c>
      <c r="R63">
        <f>Source!X30</f>
        <v>1929.1</v>
      </c>
      <c r="S63">
        <f>ROUND((Source!DO30/100)*ROUND((ROUND((Source!AF30*Source!AV30*Source!I30),2)),2), 2)</f>
        <v>67.63</v>
      </c>
      <c r="T63">
        <f>Source!Y30</f>
        <v>1027.19</v>
      </c>
      <c r="U63">
        <f>ROUND((175/100)*ROUND((ROUND((Source!AE30*Source!AV30*Source!I30),2)),2), 2)</f>
        <v>31.96</v>
      </c>
      <c r="V63">
        <f>ROUND((157/100)*ROUND(ROUND((ROUND((Source!AE30*Source!AV30*Source!I30),2)*Source!BS30),2), 2), 2)</f>
        <v>711.54</v>
      </c>
    </row>
    <row r="64" spans="1:27" ht="28.5" x14ac:dyDescent="0.2">
      <c r="A64" s="23"/>
      <c r="B64" s="23"/>
      <c r="C64" s="24"/>
      <c r="D64" s="24" t="s">
        <v>252</v>
      </c>
      <c r="E64" s="25"/>
      <c r="F64" s="10"/>
      <c r="G64" s="27">
        <f>Source!AO30</f>
        <v>53.56</v>
      </c>
      <c r="H64" s="26" t="str">
        <f>Source!DG30</f>
        <v>)*0,5)*1,2</v>
      </c>
      <c r="I64" s="10">
        <f>Source!AV30</f>
        <v>1.0469999999999999</v>
      </c>
      <c r="J64" s="28">
        <f>ROUND((ROUND((Source!AF30*Source!AV30*Source!I30),2)),2)</f>
        <v>100.94</v>
      </c>
      <c r="K64" s="10">
        <f>IF(Source!BA30&lt;&gt; 0, Source!BA30, 1)</f>
        <v>24.82</v>
      </c>
      <c r="L64" s="28">
        <f>Source!S30</f>
        <v>2505.33</v>
      </c>
      <c r="W64">
        <f>J64</f>
        <v>100.94</v>
      </c>
    </row>
    <row r="65" spans="1:27" ht="28.5" x14ac:dyDescent="0.2">
      <c r="A65" s="23"/>
      <c r="B65" s="23"/>
      <c r="C65" s="24"/>
      <c r="D65" s="24" t="s">
        <v>253</v>
      </c>
      <c r="E65" s="25"/>
      <c r="F65" s="10"/>
      <c r="G65" s="27">
        <f>Source!AM30</f>
        <v>70.38</v>
      </c>
      <c r="H65" s="26" t="str">
        <f>Source!DE30</f>
        <v>)*0,5)*1,2</v>
      </c>
      <c r="I65" s="10">
        <f>Source!AV30</f>
        <v>1.0469999999999999</v>
      </c>
      <c r="J65" s="28">
        <f>(ROUND((ROUND(((((Source!ET30*0.5)*1.2))*Source!AV30*Source!I30),2)),2)+ROUND((ROUND(((Source!AE30-(((Source!EU30*0.5)*1.2)))*Source!AV30*Source!I30),2)),2))</f>
        <v>132.63999999999999</v>
      </c>
      <c r="K65" s="10">
        <f>IF(Source!BB30&lt;&gt; 0, Source!BB30, 1)</f>
        <v>8.44</v>
      </c>
      <c r="L65" s="28">
        <f>Source!Q30</f>
        <v>1119.48</v>
      </c>
    </row>
    <row r="66" spans="1:27" ht="28.5" x14ac:dyDescent="0.2">
      <c r="A66" s="23"/>
      <c r="B66" s="23"/>
      <c r="C66" s="24"/>
      <c r="D66" s="24" t="s">
        <v>254</v>
      </c>
      <c r="E66" s="25"/>
      <c r="F66" s="10"/>
      <c r="G66" s="27">
        <f>Source!AN30</f>
        <v>9.69</v>
      </c>
      <c r="H66" s="26" t="str">
        <f>Source!DF30</f>
        <v>)*0,5)*1,2</v>
      </c>
      <c r="I66" s="10">
        <f>Source!AV30</f>
        <v>1.0469999999999999</v>
      </c>
      <c r="J66" s="29">
        <f>ROUND((ROUND((Source!AE30*Source!AV30*Source!I30),2)),2)</f>
        <v>18.260000000000002</v>
      </c>
      <c r="K66" s="10">
        <f>IF(Source!BS30&lt;&gt; 0, Source!BS30, 1)</f>
        <v>24.82</v>
      </c>
      <c r="L66" s="29">
        <f>Source!R30</f>
        <v>453.21</v>
      </c>
      <c r="W66">
        <f>J66</f>
        <v>18.260000000000002</v>
      </c>
    </row>
    <row r="67" spans="1:27" ht="14.25" x14ac:dyDescent="0.2">
      <c r="A67" s="23"/>
      <c r="B67" s="23"/>
      <c r="C67" s="24"/>
      <c r="D67" s="24" t="s">
        <v>256</v>
      </c>
      <c r="E67" s="25" t="s">
        <v>257</v>
      </c>
      <c r="F67" s="10">
        <f>Source!DN30</f>
        <v>114</v>
      </c>
      <c r="G67" s="27"/>
      <c r="H67" s="26"/>
      <c r="I67" s="10"/>
      <c r="J67" s="28">
        <f>SUM(Q63:Q66)</f>
        <v>115.07</v>
      </c>
      <c r="K67" s="10">
        <f>Source!BZ30</f>
        <v>77</v>
      </c>
      <c r="L67" s="28">
        <f>SUM(R63:R66)</f>
        <v>1929.1</v>
      </c>
    </row>
    <row r="68" spans="1:27" ht="14.25" x14ac:dyDescent="0.2">
      <c r="A68" s="23"/>
      <c r="B68" s="23"/>
      <c r="C68" s="24"/>
      <c r="D68" s="24" t="s">
        <v>258</v>
      </c>
      <c r="E68" s="25" t="s">
        <v>257</v>
      </c>
      <c r="F68" s="10">
        <f>Source!DO30</f>
        <v>67</v>
      </c>
      <c r="G68" s="27"/>
      <c r="H68" s="26"/>
      <c r="I68" s="10"/>
      <c r="J68" s="28">
        <f>SUM(S63:S67)</f>
        <v>67.63</v>
      </c>
      <c r="K68" s="10">
        <f>Source!CA30</f>
        <v>41</v>
      </c>
      <c r="L68" s="28">
        <f>SUM(T63:T67)</f>
        <v>1027.19</v>
      </c>
    </row>
    <row r="69" spans="1:27" ht="14.25" x14ac:dyDescent="0.2">
      <c r="A69" s="23"/>
      <c r="B69" s="23"/>
      <c r="C69" s="24"/>
      <c r="D69" s="24" t="s">
        <v>259</v>
      </c>
      <c r="E69" s="25" t="s">
        <v>257</v>
      </c>
      <c r="F69" s="10">
        <f>175</f>
        <v>175</v>
      </c>
      <c r="G69" s="27"/>
      <c r="H69" s="26"/>
      <c r="I69" s="10"/>
      <c r="J69" s="28">
        <f>SUM(U63:U68)</f>
        <v>31.96</v>
      </c>
      <c r="K69" s="10">
        <f>157</f>
        <v>157</v>
      </c>
      <c r="L69" s="28">
        <f>SUM(V63:V68)</f>
        <v>711.54</v>
      </c>
    </row>
    <row r="70" spans="1:27" ht="28.5" x14ac:dyDescent="0.2">
      <c r="A70" s="23"/>
      <c r="B70" s="23"/>
      <c r="C70" s="24"/>
      <c r="D70" s="24" t="s">
        <v>260</v>
      </c>
      <c r="E70" s="25" t="s">
        <v>261</v>
      </c>
      <c r="F70" s="10">
        <f>Source!AQ30</f>
        <v>4.12</v>
      </c>
      <c r="G70" s="27"/>
      <c r="H70" s="26" t="str">
        <f>Source!DI30</f>
        <v>)*0,5)*1,2</v>
      </c>
      <c r="I70" s="10">
        <f>Source!AV30</f>
        <v>1.0469999999999999</v>
      </c>
      <c r="J70" s="28">
        <f>Source!U30</f>
        <v>7.7645519999999983</v>
      </c>
      <c r="K70" s="10"/>
      <c r="L70" s="28"/>
    </row>
    <row r="71" spans="1:27" ht="15" x14ac:dyDescent="0.25">
      <c r="A71" s="31"/>
      <c r="B71" s="31"/>
      <c r="C71" s="31"/>
      <c r="D71" s="31"/>
      <c r="E71" s="31"/>
      <c r="F71" s="31"/>
      <c r="G71" s="31"/>
      <c r="H71" s="31"/>
      <c r="I71" s="56">
        <f>J64+J65+J67+J68+J69</f>
        <v>448.23999999999995</v>
      </c>
      <c r="J71" s="56"/>
      <c r="K71" s="56">
        <f>L64+L65+L67+L68+L69</f>
        <v>7292.64</v>
      </c>
      <c r="L71" s="56"/>
      <c r="O71" s="30">
        <f>J64+J65+J67+J68+J69</f>
        <v>448.23999999999995</v>
      </c>
      <c r="P71" s="30">
        <f>L64+L65+L67+L68+L69</f>
        <v>7292.64</v>
      </c>
      <c r="X71">
        <f>IF(Source!BI30&lt;=1,J64+J65+J67+J68+J69-0, 0)</f>
        <v>0</v>
      </c>
      <c r="Y71">
        <f>IF(Source!BI30=2,J64+J65+J67+J68+J69-0, 0)</f>
        <v>448.23999999999995</v>
      </c>
      <c r="Z71">
        <f>IF(Source!BI30=3,J64+J65+J67+J68+J69-0, 0)</f>
        <v>0</v>
      </c>
      <c r="AA71">
        <f>IF(Source!BI30=4,J64+J65+J67+J68+J69,0)</f>
        <v>0</v>
      </c>
    </row>
    <row r="72" spans="1:27" ht="57" x14ac:dyDescent="0.2">
      <c r="A72" s="23">
        <v>4</v>
      </c>
      <c r="B72" s="23" t="str">
        <f>Source!E31</f>
        <v>4</v>
      </c>
      <c r="C72" s="24" t="str">
        <f>Source!F31</f>
        <v>4.8-78-1</v>
      </c>
      <c r="D72" s="24" t="s">
        <v>47</v>
      </c>
      <c r="E72" s="25" t="str">
        <f>Source!H31</f>
        <v>100 м</v>
      </c>
      <c r="F72" s="10">
        <f>Source!I31</f>
        <v>0.39</v>
      </c>
      <c r="G72" s="27"/>
      <c r="H72" s="26"/>
      <c r="I72" s="10"/>
      <c r="J72" s="28"/>
      <c r="K72" s="10"/>
      <c r="L72" s="28"/>
      <c r="Q72">
        <f>ROUND((Source!DN31/100)*ROUND((ROUND((Source!AF31*Source!AV31*Source!I31),2)),2), 2)</f>
        <v>89.14</v>
      </c>
      <c r="R72">
        <f>Source!X31</f>
        <v>1494.32</v>
      </c>
      <c r="S72">
        <f>ROUND((Source!DO31/100)*ROUND((ROUND((Source!AF31*Source!AV31*Source!I31),2)),2), 2)</f>
        <v>52.39</v>
      </c>
      <c r="T72">
        <f>Source!Y31</f>
        <v>795.68</v>
      </c>
      <c r="U72">
        <f>ROUND((175/100)*ROUND((ROUND((Source!AE31*Source!AV31*Source!I31),2)),2), 2)</f>
        <v>138.47999999999999</v>
      </c>
      <c r="V72">
        <f>ROUND((157/100)*ROUND(ROUND((ROUND((Source!AE31*Source!AV31*Source!I31),2)*Source!BS31),2), 2), 2)</f>
        <v>3083.5</v>
      </c>
    </row>
    <row r="73" spans="1:27" x14ac:dyDescent="0.2">
      <c r="D73" s="32" t="str">
        <f>"Объем: "&amp;Source!I31&amp;"=39/"&amp;"100"</f>
        <v>Объем: 0,39=39/100</v>
      </c>
    </row>
    <row r="74" spans="1:27" ht="14.25" x14ac:dyDescent="0.2">
      <c r="A74" s="23"/>
      <c r="B74" s="23"/>
      <c r="C74" s="24"/>
      <c r="D74" s="24" t="s">
        <v>252</v>
      </c>
      <c r="E74" s="25"/>
      <c r="F74" s="10"/>
      <c r="G74" s="27">
        <f>Source!AO31</f>
        <v>156.59</v>
      </c>
      <c r="H74" s="26" t="str">
        <f>Source!DG31</f>
        <v>)*1,2</v>
      </c>
      <c r="I74" s="10">
        <f>Source!AV31</f>
        <v>1.0669999999999999</v>
      </c>
      <c r="J74" s="28">
        <f>ROUND((ROUND((Source!AF31*Source!AV31*Source!I31),2)),2)</f>
        <v>78.19</v>
      </c>
      <c r="K74" s="10">
        <f>IF(Source!BA31&lt;&gt; 0, Source!BA31, 1)</f>
        <v>24.82</v>
      </c>
      <c r="L74" s="28">
        <f>Source!S31</f>
        <v>1940.68</v>
      </c>
      <c r="W74">
        <f>J74</f>
        <v>78.19</v>
      </c>
    </row>
    <row r="75" spans="1:27" ht="14.25" x14ac:dyDescent="0.2">
      <c r="A75" s="23"/>
      <c r="B75" s="23"/>
      <c r="C75" s="24"/>
      <c r="D75" s="24" t="s">
        <v>253</v>
      </c>
      <c r="E75" s="25"/>
      <c r="F75" s="10"/>
      <c r="G75" s="27">
        <f>Source!AM31</f>
        <v>828.39</v>
      </c>
      <c r="H75" s="26" t="str">
        <f>Source!DE31</f>
        <v>)*1,2</v>
      </c>
      <c r="I75" s="10">
        <f>Source!AV31</f>
        <v>1.0669999999999999</v>
      </c>
      <c r="J75" s="28">
        <f>(ROUND((ROUND((((Source!ET31*1.2))*Source!AV31*Source!I31),2)),2)+ROUND((ROUND(((Source!AE31-((Source!EU31*1.2)))*Source!AV31*Source!I31),2)),2))</f>
        <v>413.66</v>
      </c>
      <c r="K75" s="10">
        <f>IF(Source!BB31&lt;&gt; 0, Source!BB31, 1)</f>
        <v>7.48</v>
      </c>
      <c r="L75" s="28">
        <f>Source!Q31</f>
        <v>3094.18</v>
      </c>
    </row>
    <row r="76" spans="1:27" ht="14.25" x14ac:dyDescent="0.2">
      <c r="A76" s="23"/>
      <c r="B76" s="23"/>
      <c r="C76" s="24"/>
      <c r="D76" s="24" t="s">
        <v>254</v>
      </c>
      <c r="E76" s="25"/>
      <c r="F76" s="10"/>
      <c r="G76" s="27">
        <f>Source!AN31</f>
        <v>158.47</v>
      </c>
      <c r="H76" s="26" t="str">
        <f>Source!DF31</f>
        <v>)*1,2</v>
      </c>
      <c r="I76" s="10">
        <f>Source!AV31</f>
        <v>1.0669999999999999</v>
      </c>
      <c r="J76" s="29">
        <f>ROUND((ROUND((Source!AE31*Source!AV31*Source!I31),2)),2)</f>
        <v>79.13</v>
      </c>
      <c r="K76" s="10">
        <f>IF(Source!BS31&lt;&gt; 0, Source!BS31, 1)</f>
        <v>24.82</v>
      </c>
      <c r="L76" s="29">
        <f>Source!R31</f>
        <v>1964.01</v>
      </c>
      <c r="W76">
        <f>J76</f>
        <v>79.13</v>
      </c>
    </row>
    <row r="77" spans="1:27" ht="14.25" x14ac:dyDescent="0.2">
      <c r="A77" s="23"/>
      <c r="B77" s="23"/>
      <c r="C77" s="24"/>
      <c r="D77" s="24" t="s">
        <v>255</v>
      </c>
      <c r="E77" s="25"/>
      <c r="F77" s="10"/>
      <c r="G77" s="27">
        <f>Source!AL31</f>
        <v>168</v>
      </c>
      <c r="H77" s="26" t="str">
        <f>Source!DD31</f>
        <v/>
      </c>
      <c r="I77" s="10">
        <f>Source!AW31</f>
        <v>1.081</v>
      </c>
      <c r="J77" s="28">
        <f>ROUND((ROUND((Source!AC31*Source!AW31*Source!I31),2)),2)</f>
        <v>70.83</v>
      </c>
      <c r="K77" s="10">
        <f>IF(Source!BC31&lt;&gt; 0, Source!BC31, 1)</f>
        <v>5.29</v>
      </c>
      <c r="L77" s="28">
        <f>Source!P31</f>
        <v>374.69</v>
      </c>
    </row>
    <row r="78" spans="1:27" ht="14.25" x14ac:dyDescent="0.2">
      <c r="A78" s="23"/>
      <c r="B78" s="23"/>
      <c r="C78" s="24"/>
      <c r="D78" s="24" t="s">
        <v>256</v>
      </c>
      <c r="E78" s="25" t="s">
        <v>257</v>
      </c>
      <c r="F78" s="10">
        <f>Source!DN31</f>
        <v>114</v>
      </c>
      <c r="G78" s="27"/>
      <c r="H78" s="26"/>
      <c r="I78" s="10"/>
      <c r="J78" s="28">
        <f>SUM(Q72:Q77)</f>
        <v>89.14</v>
      </c>
      <c r="K78" s="10">
        <f>Source!BZ31</f>
        <v>77</v>
      </c>
      <c r="L78" s="28">
        <f>SUM(R72:R77)</f>
        <v>1494.32</v>
      </c>
    </row>
    <row r="79" spans="1:27" ht="14.25" x14ac:dyDescent="0.2">
      <c r="A79" s="23"/>
      <c r="B79" s="23"/>
      <c r="C79" s="24"/>
      <c r="D79" s="24" t="s">
        <v>258</v>
      </c>
      <c r="E79" s="25" t="s">
        <v>257</v>
      </c>
      <c r="F79" s="10">
        <f>Source!DO31</f>
        <v>67</v>
      </c>
      <c r="G79" s="27"/>
      <c r="H79" s="26"/>
      <c r="I79" s="10"/>
      <c r="J79" s="28">
        <f>SUM(S72:S78)</f>
        <v>52.39</v>
      </c>
      <c r="K79" s="10">
        <f>Source!CA31</f>
        <v>41</v>
      </c>
      <c r="L79" s="28">
        <f>SUM(T72:T78)</f>
        <v>795.68</v>
      </c>
    </row>
    <row r="80" spans="1:27" ht="14.25" x14ac:dyDescent="0.2">
      <c r="A80" s="23"/>
      <c r="B80" s="23"/>
      <c r="C80" s="24"/>
      <c r="D80" s="24" t="s">
        <v>259</v>
      </c>
      <c r="E80" s="25" t="s">
        <v>257</v>
      </c>
      <c r="F80" s="10">
        <f>175</f>
        <v>175</v>
      </c>
      <c r="G80" s="27"/>
      <c r="H80" s="26"/>
      <c r="I80" s="10"/>
      <c r="J80" s="28">
        <f>SUM(U72:U79)</f>
        <v>138.47999999999999</v>
      </c>
      <c r="K80" s="10">
        <f>157</f>
        <v>157</v>
      </c>
      <c r="L80" s="28">
        <f>SUM(V72:V79)</f>
        <v>3083.5</v>
      </c>
    </row>
    <row r="81" spans="1:27" ht="14.25" x14ac:dyDescent="0.2">
      <c r="A81" s="23"/>
      <c r="B81" s="23"/>
      <c r="C81" s="24"/>
      <c r="D81" s="24" t="s">
        <v>260</v>
      </c>
      <c r="E81" s="25" t="s">
        <v>261</v>
      </c>
      <c r="F81" s="10">
        <f>Source!AQ31</f>
        <v>12.7</v>
      </c>
      <c r="G81" s="27"/>
      <c r="H81" s="26" t="str">
        <f>Source!DI31</f>
        <v>)*1,2</v>
      </c>
      <c r="I81" s="10">
        <f>Source!AV31</f>
        <v>1.0669999999999999</v>
      </c>
      <c r="J81" s="28">
        <f>Source!U31</f>
        <v>6.3418211999999992</v>
      </c>
      <c r="K81" s="10"/>
      <c r="L81" s="28"/>
    </row>
    <row r="82" spans="1:27" ht="15" x14ac:dyDescent="0.25">
      <c r="A82" s="31"/>
      <c r="B82" s="31"/>
      <c r="C82" s="31"/>
      <c r="D82" s="31"/>
      <c r="E82" s="31"/>
      <c r="F82" s="31"/>
      <c r="G82" s="31"/>
      <c r="H82" s="31"/>
      <c r="I82" s="56">
        <f>J74+J75+J77+J78+J79+J80</f>
        <v>842.69</v>
      </c>
      <c r="J82" s="56"/>
      <c r="K82" s="56">
        <f>L74+L75+L77+L78+L79+L80</f>
        <v>10783.05</v>
      </c>
      <c r="L82" s="56"/>
      <c r="O82" s="30">
        <f>J74+J75+J77+J78+J79+J80</f>
        <v>842.69</v>
      </c>
      <c r="P82" s="30">
        <f>L74+L75+L77+L78+L79+L80</f>
        <v>10783.05</v>
      </c>
      <c r="X82">
        <f>IF(Source!BI31&lt;=1,J74+J75+J77+J78+J79+J80-0, 0)</f>
        <v>0</v>
      </c>
      <c r="Y82">
        <f>IF(Source!BI31=2,J74+J75+J77+J78+J79+J80-0, 0)</f>
        <v>842.69</v>
      </c>
      <c r="Z82">
        <f>IF(Source!BI31=3,J74+J75+J77+J78+J79+J80-0, 0)</f>
        <v>0</v>
      </c>
      <c r="AA82">
        <f>IF(Source!BI31=4,J74+J75+J77+J78+J79+J80,0)</f>
        <v>0</v>
      </c>
    </row>
    <row r="83" spans="1:27" ht="85.5" x14ac:dyDescent="0.2">
      <c r="A83" s="23">
        <v>5</v>
      </c>
      <c r="B83" s="23" t="str">
        <f>Source!E32</f>
        <v>5</v>
      </c>
      <c r="C83" s="24" t="str">
        <f>Source!F32</f>
        <v>4.8-79-3</v>
      </c>
      <c r="D83" s="24" t="s">
        <v>54</v>
      </c>
      <c r="E83" s="25" t="str">
        <f>Source!H32</f>
        <v>100 м</v>
      </c>
      <c r="F83" s="10">
        <f>Source!I32</f>
        <v>0.27</v>
      </c>
      <c r="G83" s="27"/>
      <c r="H83" s="26"/>
      <c r="I83" s="10"/>
      <c r="J83" s="28"/>
      <c r="K83" s="10"/>
      <c r="L83" s="28"/>
      <c r="Q83">
        <f>ROUND((Source!DN32/100)*ROUND((ROUND((Source!AF32*Source!AV32*Source!I32),2)),2), 2)</f>
        <v>78.239999999999995</v>
      </c>
      <c r="R83">
        <f>Source!X32</f>
        <v>1311.62</v>
      </c>
      <c r="S83">
        <f>ROUND((Source!DO32/100)*ROUND((ROUND((Source!AF32*Source!AV32*Source!I32),2)),2), 2)</f>
        <v>45.98</v>
      </c>
      <c r="T83">
        <f>Source!Y32</f>
        <v>698.39</v>
      </c>
      <c r="U83">
        <f>ROUND((175/100)*ROUND((ROUND((Source!AE32*Source!AV32*Source!I32),2)),2), 2)</f>
        <v>45.43</v>
      </c>
      <c r="V83">
        <f>ROUND((157/100)*ROUND(ROUND((ROUND((Source!AE32*Source!AV32*Source!I32),2)*Source!BS32),2), 2), 2)</f>
        <v>1011.6</v>
      </c>
    </row>
    <row r="84" spans="1:27" x14ac:dyDescent="0.2">
      <c r="D84" s="32" t="str">
        <f>"Объем: "&amp;Source!I32&amp;"=27/"&amp;"100"</f>
        <v>Объем: 0,27=27/100</v>
      </c>
    </row>
    <row r="85" spans="1:27" ht="14.25" x14ac:dyDescent="0.2">
      <c r="A85" s="23"/>
      <c r="B85" s="23"/>
      <c r="C85" s="24"/>
      <c r="D85" s="24" t="s">
        <v>252</v>
      </c>
      <c r="E85" s="25"/>
      <c r="F85" s="10"/>
      <c r="G85" s="27">
        <f>Source!AO32</f>
        <v>198.51</v>
      </c>
      <c r="H85" s="26" t="str">
        <f>Source!DG32</f>
        <v>)*1,2</v>
      </c>
      <c r="I85" s="10">
        <f>Source!AV32</f>
        <v>1.0669999999999999</v>
      </c>
      <c r="J85" s="28">
        <f>ROUND((ROUND((Source!AF32*Source!AV32*Source!I32),2)),2)</f>
        <v>68.63</v>
      </c>
      <c r="K85" s="10">
        <f>IF(Source!BA32&lt;&gt; 0, Source!BA32, 1)</f>
        <v>24.82</v>
      </c>
      <c r="L85" s="28">
        <f>Source!S32</f>
        <v>1703.4</v>
      </c>
      <c r="W85">
        <f>J85</f>
        <v>68.63</v>
      </c>
    </row>
    <row r="86" spans="1:27" ht="14.25" x14ac:dyDescent="0.2">
      <c r="A86" s="23"/>
      <c r="B86" s="23"/>
      <c r="C86" s="24"/>
      <c r="D86" s="24" t="s">
        <v>253</v>
      </c>
      <c r="E86" s="25"/>
      <c r="F86" s="10"/>
      <c r="G86" s="27">
        <f>Source!AM32</f>
        <v>463.73</v>
      </c>
      <c r="H86" s="26" t="str">
        <f>Source!DE32</f>
        <v>)*1,2</v>
      </c>
      <c r="I86" s="10">
        <f>Source!AV32</f>
        <v>1.0669999999999999</v>
      </c>
      <c r="J86" s="28">
        <f>(ROUND((ROUND((((Source!ET32*1.2))*Source!AV32*Source!I32),2)),2)+ROUND((ROUND(((Source!AE32-((Source!EU32*1.2)))*Source!AV32*Source!I32),2)),2))</f>
        <v>160.32</v>
      </c>
      <c r="K86" s="10">
        <f>IF(Source!BB32&lt;&gt; 0, Source!BB32, 1)</f>
        <v>5.52</v>
      </c>
      <c r="L86" s="28">
        <f>Source!Q32</f>
        <v>884.97</v>
      </c>
    </row>
    <row r="87" spans="1:27" ht="14.25" x14ac:dyDescent="0.2">
      <c r="A87" s="23"/>
      <c r="B87" s="23"/>
      <c r="C87" s="24"/>
      <c r="D87" s="24" t="s">
        <v>254</v>
      </c>
      <c r="E87" s="25"/>
      <c r="F87" s="10"/>
      <c r="G87" s="27">
        <f>Source!AN32</f>
        <v>75.08</v>
      </c>
      <c r="H87" s="26" t="str">
        <f>Source!DF32</f>
        <v>)*1,2</v>
      </c>
      <c r="I87" s="10">
        <f>Source!AV32</f>
        <v>1.0669999999999999</v>
      </c>
      <c r="J87" s="29">
        <f>ROUND((ROUND((Source!AE32*Source!AV32*Source!I32),2)),2)</f>
        <v>25.96</v>
      </c>
      <c r="K87" s="10">
        <f>IF(Source!BS32&lt;&gt; 0, Source!BS32, 1)</f>
        <v>24.82</v>
      </c>
      <c r="L87" s="29">
        <f>Source!R32</f>
        <v>644.33000000000004</v>
      </c>
      <c r="W87">
        <f>J87</f>
        <v>25.96</v>
      </c>
    </row>
    <row r="88" spans="1:27" ht="14.25" x14ac:dyDescent="0.2">
      <c r="A88" s="23"/>
      <c r="B88" s="23"/>
      <c r="C88" s="24"/>
      <c r="D88" s="24" t="s">
        <v>255</v>
      </c>
      <c r="E88" s="25"/>
      <c r="F88" s="10"/>
      <c r="G88" s="27">
        <f>Source!AL32</f>
        <v>27.23</v>
      </c>
      <c r="H88" s="26" t="str">
        <f>Source!DD32</f>
        <v/>
      </c>
      <c r="I88" s="10">
        <f>Source!AW32</f>
        <v>1.081</v>
      </c>
      <c r="J88" s="28">
        <f>ROUND((ROUND((Source!AC32*Source!AW32*Source!I32),2)),2)</f>
        <v>7.95</v>
      </c>
      <c r="K88" s="10">
        <f>IF(Source!BC32&lt;&gt; 0, Source!BC32, 1)</f>
        <v>5.29</v>
      </c>
      <c r="L88" s="28">
        <f>Source!P32</f>
        <v>42.06</v>
      </c>
    </row>
    <row r="89" spans="1:27" ht="14.25" x14ac:dyDescent="0.2">
      <c r="A89" s="23"/>
      <c r="B89" s="23"/>
      <c r="C89" s="24"/>
      <c r="D89" s="24" t="s">
        <v>256</v>
      </c>
      <c r="E89" s="25" t="s">
        <v>257</v>
      </c>
      <c r="F89" s="10">
        <f>Source!DN32</f>
        <v>114</v>
      </c>
      <c r="G89" s="27"/>
      <c r="H89" s="26"/>
      <c r="I89" s="10"/>
      <c r="J89" s="28">
        <f>SUM(Q83:Q88)</f>
        <v>78.239999999999995</v>
      </c>
      <c r="K89" s="10">
        <f>Source!BZ32</f>
        <v>77</v>
      </c>
      <c r="L89" s="28">
        <f>SUM(R83:R88)</f>
        <v>1311.62</v>
      </c>
    </row>
    <row r="90" spans="1:27" ht="14.25" x14ac:dyDescent="0.2">
      <c r="A90" s="23"/>
      <c r="B90" s="23"/>
      <c r="C90" s="24"/>
      <c r="D90" s="24" t="s">
        <v>258</v>
      </c>
      <c r="E90" s="25" t="s">
        <v>257</v>
      </c>
      <c r="F90" s="10">
        <f>Source!DO32</f>
        <v>67</v>
      </c>
      <c r="G90" s="27"/>
      <c r="H90" s="26"/>
      <c r="I90" s="10"/>
      <c r="J90" s="28">
        <f>SUM(S83:S89)</f>
        <v>45.98</v>
      </c>
      <c r="K90" s="10">
        <f>Source!CA32</f>
        <v>41</v>
      </c>
      <c r="L90" s="28">
        <f>SUM(T83:T89)</f>
        <v>698.39</v>
      </c>
    </row>
    <row r="91" spans="1:27" ht="14.25" x14ac:dyDescent="0.2">
      <c r="A91" s="23"/>
      <c r="B91" s="23"/>
      <c r="C91" s="24"/>
      <c r="D91" s="24" t="s">
        <v>259</v>
      </c>
      <c r="E91" s="25" t="s">
        <v>257</v>
      </c>
      <c r="F91" s="10">
        <f>175</f>
        <v>175</v>
      </c>
      <c r="G91" s="27"/>
      <c r="H91" s="26"/>
      <c r="I91" s="10"/>
      <c r="J91" s="28">
        <f>SUM(U83:U90)</f>
        <v>45.43</v>
      </c>
      <c r="K91" s="10">
        <f>157</f>
        <v>157</v>
      </c>
      <c r="L91" s="28">
        <f>SUM(V83:V90)</f>
        <v>1011.6</v>
      </c>
    </row>
    <row r="92" spans="1:27" ht="14.25" x14ac:dyDescent="0.2">
      <c r="A92" s="23"/>
      <c r="B92" s="23"/>
      <c r="C92" s="24"/>
      <c r="D92" s="24" t="s">
        <v>260</v>
      </c>
      <c r="E92" s="25" t="s">
        <v>261</v>
      </c>
      <c r="F92" s="10">
        <f>Source!AQ32</f>
        <v>16.100000000000001</v>
      </c>
      <c r="G92" s="27"/>
      <c r="H92" s="26" t="str">
        <f>Source!DI32</f>
        <v>)*1,2</v>
      </c>
      <c r="I92" s="10">
        <f>Source!AV32</f>
        <v>1.0669999999999999</v>
      </c>
      <c r="J92" s="28">
        <f>Source!U32</f>
        <v>5.5658988000000003</v>
      </c>
      <c r="K92" s="10"/>
      <c r="L92" s="28"/>
    </row>
    <row r="93" spans="1:27" ht="15" x14ac:dyDescent="0.25">
      <c r="A93" s="31"/>
      <c r="B93" s="31"/>
      <c r="C93" s="31"/>
      <c r="D93" s="31"/>
      <c r="E93" s="31"/>
      <c r="F93" s="31"/>
      <c r="G93" s="31"/>
      <c r="H93" s="31"/>
      <c r="I93" s="56">
        <f>J85+J86+J88+J89+J90+J91</f>
        <v>406.55</v>
      </c>
      <c r="J93" s="56"/>
      <c r="K93" s="56">
        <f>L85+L86+L88+L89+L90+L91</f>
        <v>5652.04</v>
      </c>
      <c r="L93" s="56"/>
      <c r="O93" s="30">
        <f>J85+J86+J88+J89+J90+J91</f>
        <v>406.55</v>
      </c>
      <c r="P93" s="30">
        <f>L85+L86+L88+L89+L90+L91</f>
        <v>5652.04</v>
      </c>
      <c r="X93">
        <f>IF(Source!BI32&lt;=1,J85+J86+J88+J89+J90+J91-0, 0)</f>
        <v>0</v>
      </c>
      <c r="Y93">
        <f>IF(Source!BI32=2,J85+J86+J88+J89+J90+J91-0, 0)</f>
        <v>406.55</v>
      </c>
      <c r="Z93">
        <f>IF(Source!BI32=3,J85+J86+J88+J89+J90+J91-0, 0)</f>
        <v>0</v>
      </c>
      <c r="AA93">
        <f>IF(Source!BI32=4,J85+J86+J88+J89+J90+J91,0)</f>
        <v>0</v>
      </c>
    </row>
    <row r="94" spans="1:27" ht="85.5" x14ac:dyDescent="0.2">
      <c r="A94" s="23">
        <v>6</v>
      </c>
      <c r="B94" s="23" t="str">
        <f>Source!E33</f>
        <v>6</v>
      </c>
      <c r="C94" s="24" t="str">
        <f>Source!F33</f>
        <v>4.8-79-3</v>
      </c>
      <c r="D94" s="24" t="s">
        <v>57</v>
      </c>
      <c r="E94" s="25" t="str">
        <f>Source!H33</f>
        <v>100 м</v>
      </c>
      <c r="F94" s="10">
        <f>Source!I33</f>
        <v>0.27</v>
      </c>
      <c r="G94" s="27"/>
      <c r="H94" s="26"/>
      <c r="I94" s="10"/>
      <c r="J94" s="28"/>
      <c r="K94" s="10"/>
      <c r="L94" s="28"/>
      <c r="Q94">
        <f>ROUND((Source!DN33/100)*ROUND((ROUND((Source!AF33*Source!AV33*Source!I33),2)),2), 2)</f>
        <v>23.47</v>
      </c>
      <c r="R94">
        <f>Source!X33</f>
        <v>393.5</v>
      </c>
      <c r="S94">
        <f>ROUND((Source!DO33/100)*ROUND((ROUND((Source!AF33*Source!AV33*Source!I33),2)),2), 2)</f>
        <v>13.8</v>
      </c>
      <c r="T94">
        <f>Source!Y33</f>
        <v>209.53</v>
      </c>
      <c r="U94">
        <f>ROUND((175/100)*ROUND((ROUND((Source!AE33*Source!AV33*Source!I33),2)),2), 2)</f>
        <v>13.63</v>
      </c>
      <c r="V94">
        <f>ROUND((157/100)*ROUND(ROUND((ROUND((Source!AE33*Source!AV33*Source!I33),2)*Source!BS33),2), 2), 2)</f>
        <v>303.56</v>
      </c>
    </row>
    <row r="95" spans="1:27" x14ac:dyDescent="0.2">
      <c r="D95" s="32" t="str">
        <f>"Объем: "&amp;Source!I33&amp;"=27/"&amp;"100"</f>
        <v>Объем: 0,27=27/100</v>
      </c>
    </row>
    <row r="96" spans="1:27" ht="28.5" x14ac:dyDescent="0.2">
      <c r="A96" s="23"/>
      <c r="B96" s="23"/>
      <c r="C96" s="24"/>
      <c r="D96" s="24" t="s">
        <v>252</v>
      </c>
      <c r="E96" s="25"/>
      <c r="F96" s="10"/>
      <c r="G96" s="27">
        <f>Source!AO33</f>
        <v>198.51</v>
      </c>
      <c r="H96" s="26" t="str">
        <f>Source!DG33</f>
        <v>)*1,2)*0,3</v>
      </c>
      <c r="I96" s="10">
        <f>Source!AV33</f>
        <v>1.0669999999999999</v>
      </c>
      <c r="J96" s="28">
        <f>ROUND((ROUND((Source!AF33*Source!AV33*Source!I33),2)),2)</f>
        <v>20.59</v>
      </c>
      <c r="K96" s="10">
        <f>IF(Source!BA33&lt;&gt; 0, Source!BA33, 1)</f>
        <v>24.82</v>
      </c>
      <c r="L96" s="28">
        <f>Source!S33</f>
        <v>511.04</v>
      </c>
      <c r="W96">
        <f>J96</f>
        <v>20.59</v>
      </c>
    </row>
    <row r="97" spans="1:27" ht="28.5" x14ac:dyDescent="0.2">
      <c r="A97" s="23"/>
      <c r="B97" s="23"/>
      <c r="C97" s="24"/>
      <c r="D97" s="24" t="s">
        <v>253</v>
      </c>
      <c r="E97" s="25"/>
      <c r="F97" s="10"/>
      <c r="G97" s="27">
        <f>Source!AM33</f>
        <v>463.73</v>
      </c>
      <c r="H97" s="26" t="str">
        <f>Source!DE33</f>
        <v>)*1,2)*0,3</v>
      </c>
      <c r="I97" s="10">
        <f>Source!AV33</f>
        <v>1.0669999999999999</v>
      </c>
      <c r="J97" s="28">
        <f>(ROUND((ROUND(((((Source!ET33*1.2)*0.3))*Source!AV33*Source!I33),2)),2)+ROUND((ROUND(((Source!AE33-(((Source!EU33*1.2)*0.3)))*Source!AV33*Source!I33),2)),2))</f>
        <v>48.09</v>
      </c>
      <c r="K97" s="10">
        <f>IF(Source!BB33&lt;&gt; 0, Source!BB33, 1)</f>
        <v>5.52</v>
      </c>
      <c r="L97" s="28">
        <f>Source!Q33</f>
        <v>265.45999999999998</v>
      </c>
    </row>
    <row r="98" spans="1:27" ht="28.5" x14ac:dyDescent="0.2">
      <c r="A98" s="23"/>
      <c r="B98" s="23"/>
      <c r="C98" s="24"/>
      <c r="D98" s="24" t="s">
        <v>254</v>
      </c>
      <c r="E98" s="25"/>
      <c r="F98" s="10"/>
      <c r="G98" s="27">
        <f>Source!AN33</f>
        <v>75.08</v>
      </c>
      <c r="H98" s="26" t="str">
        <f>Source!DF33</f>
        <v>)*1,2)*0,3</v>
      </c>
      <c r="I98" s="10">
        <f>Source!AV33</f>
        <v>1.0669999999999999</v>
      </c>
      <c r="J98" s="29">
        <f>ROUND((ROUND((Source!AE33*Source!AV33*Source!I33),2)),2)</f>
        <v>7.79</v>
      </c>
      <c r="K98" s="10">
        <f>IF(Source!BS33&lt;&gt; 0, Source!BS33, 1)</f>
        <v>24.82</v>
      </c>
      <c r="L98" s="29">
        <f>Source!R33</f>
        <v>193.35</v>
      </c>
      <c r="W98">
        <f>J98</f>
        <v>7.79</v>
      </c>
    </row>
    <row r="99" spans="1:27" ht="14.25" x14ac:dyDescent="0.2">
      <c r="A99" s="23"/>
      <c r="B99" s="23"/>
      <c r="C99" s="24"/>
      <c r="D99" s="24" t="s">
        <v>256</v>
      </c>
      <c r="E99" s="25" t="s">
        <v>257</v>
      </c>
      <c r="F99" s="10">
        <f>Source!DN33</f>
        <v>114</v>
      </c>
      <c r="G99" s="27"/>
      <c r="H99" s="26"/>
      <c r="I99" s="10"/>
      <c r="J99" s="28">
        <f>SUM(Q94:Q98)</f>
        <v>23.47</v>
      </c>
      <c r="K99" s="10">
        <f>Source!BZ33</f>
        <v>77</v>
      </c>
      <c r="L99" s="28">
        <f>SUM(R94:R98)</f>
        <v>393.5</v>
      </c>
    </row>
    <row r="100" spans="1:27" ht="14.25" x14ac:dyDescent="0.2">
      <c r="A100" s="23"/>
      <c r="B100" s="23"/>
      <c r="C100" s="24"/>
      <c r="D100" s="24" t="s">
        <v>258</v>
      </c>
      <c r="E100" s="25" t="s">
        <v>257</v>
      </c>
      <c r="F100" s="10">
        <f>Source!DO33</f>
        <v>67</v>
      </c>
      <c r="G100" s="27"/>
      <c r="H100" s="26"/>
      <c r="I100" s="10"/>
      <c r="J100" s="28">
        <f>SUM(S94:S99)</f>
        <v>13.8</v>
      </c>
      <c r="K100" s="10">
        <f>Source!CA33</f>
        <v>41</v>
      </c>
      <c r="L100" s="28">
        <f>SUM(T94:T99)</f>
        <v>209.53</v>
      </c>
    </row>
    <row r="101" spans="1:27" ht="14.25" x14ac:dyDescent="0.2">
      <c r="A101" s="23"/>
      <c r="B101" s="23"/>
      <c r="C101" s="24"/>
      <c r="D101" s="24" t="s">
        <v>259</v>
      </c>
      <c r="E101" s="25" t="s">
        <v>257</v>
      </c>
      <c r="F101" s="10">
        <f>175</f>
        <v>175</v>
      </c>
      <c r="G101" s="27"/>
      <c r="H101" s="26"/>
      <c r="I101" s="10"/>
      <c r="J101" s="28">
        <f>SUM(U94:U100)</f>
        <v>13.63</v>
      </c>
      <c r="K101" s="10">
        <f>157</f>
        <v>157</v>
      </c>
      <c r="L101" s="28">
        <f>SUM(V94:V100)</f>
        <v>303.56</v>
      </c>
    </row>
    <row r="102" spans="1:27" ht="28.5" x14ac:dyDescent="0.2">
      <c r="A102" s="23"/>
      <c r="B102" s="23"/>
      <c r="C102" s="24"/>
      <c r="D102" s="24" t="s">
        <v>260</v>
      </c>
      <c r="E102" s="25" t="s">
        <v>261</v>
      </c>
      <c r="F102" s="10">
        <f>Source!AQ33</f>
        <v>16.100000000000001</v>
      </c>
      <c r="G102" s="27"/>
      <c r="H102" s="26" t="str">
        <f>Source!DI33</f>
        <v>)*1,2)*0,3</v>
      </c>
      <c r="I102" s="10">
        <f>Source!AV33</f>
        <v>1.0669999999999999</v>
      </c>
      <c r="J102" s="28">
        <f>Source!U33</f>
        <v>1.6697696400000002</v>
      </c>
      <c r="K102" s="10"/>
      <c r="L102" s="28"/>
    </row>
    <row r="103" spans="1:27" ht="15" x14ac:dyDescent="0.25">
      <c r="A103" s="31"/>
      <c r="B103" s="31"/>
      <c r="C103" s="31"/>
      <c r="D103" s="31"/>
      <c r="E103" s="31"/>
      <c r="F103" s="31"/>
      <c r="G103" s="31"/>
      <c r="H103" s="31"/>
      <c r="I103" s="56">
        <f>J96+J97+J99+J100+J101</f>
        <v>119.58</v>
      </c>
      <c r="J103" s="56"/>
      <c r="K103" s="56">
        <f>L96+L97+L99+L100+L101</f>
        <v>1683.09</v>
      </c>
      <c r="L103" s="56"/>
      <c r="O103" s="30">
        <f>J96+J97+J99+J100+J101</f>
        <v>119.58</v>
      </c>
      <c r="P103" s="30">
        <f>L96+L97+L99+L100+L101</f>
        <v>1683.09</v>
      </c>
      <c r="X103">
        <f>IF(Source!BI33&lt;=1,J96+J97+J99+J100+J101-0, 0)</f>
        <v>0</v>
      </c>
      <c r="Y103">
        <f>IF(Source!BI33=2,J96+J97+J99+J100+J101-0, 0)</f>
        <v>119.58</v>
      </c>
      <c r="Z103">
        <f>IF(Source!BI33=3,J96+J97+J99+J100+J101-0, 0)</f>
        <v>0</v>
      </c>
      <c r="AA103">
        <f>IF(Source!BI33=4,J96+J97+J99+J100+J101,0)</f>
        <v>0</v>
      </c>
    </row>
    <row r="104" spans="1:27" ht="99.75" x14ac:dyDescent="0.2">
      <c r="A104" s="23">
        <v>7</v>
      </c>
      <c r="B104" s="23" t="str">
        <f>Source!E34</f>
        <v>7</v>
      </c>
      <c r="C104" s="24" t="str">
        <f>Source!F34</f>
        <v>4.8-316-1</v>
      </c>
      <c r="D104" s="24" t="s">
        <v>62</v>
      </c>
      <c r="E104" s="25" t="str">
        <f>Source!H34</f>
        <v>шт.</v>
      </c>
      <c r="F104" s="10">
        <f>Source!I34</f>
        <v>10</v>
      </c>
      <c r="G104" s="27"/>
      <c r="H104" s="26"/>
      <c r="I104" s="10"/>
      <c r="J104" s="28"/>
      <c r="K104" s="10"/>
      <c r="L104" s="28"/>
      <c r="Q104">
        <f>ROUND((Source!DN34/100)*ROUND((ROUND((Source!AF34*Source!AV34*Source!I34),2)),2), 2)</f>
        <v>443.37</v>
      </c>
      <c r="R104">
        <f>Source!X34</f>
        <v>7432.8</v>
      </c>
      <c r="S104">
        <f>ROUND((Source!DO34/100)*ROUND((ROUND((Source!AF34*Source!AV34*Source!I34),2)),2), 2)</f>
        <v>260.58</v>
      </c>
      <c r="T104">
        <f>Source!Y34</f>
        <v>3957.73</v>
      </c>
      <c r="U104">
        <f>ROUND((175/100)*ROUND((ROUND((Source!AE34*Source!AV34*Source!I34),2)),2), 2)</f>
        <v>3.17</v>
      </c>
      <c r="V104">
        <f>ROUND((157/100)*ROUND(ROUND((ROUND((Source!AE34*Source!AV34*Source!I34),2)*Source!BS34),2), 2), 2)</f>
        <v>70.52</v>
      </c>
    </row>
    <row r="105" spans="1:27" ht="14.25" x14ac:dyDescent="0.2">
      <c r="A105" s="23"/>
      <c r="B105" s="23"/>
      <c r="C105" s="24"/>
      <c r="D105" s="24" t="s">
        <v>252</v>
      </c>
      <c r="E105" s="25"/>
      <c r="F105" s="10"/>
      <c r="G105" s="27">
        <f>Source!AO34</f>
        <v>36.450000000000003</v>
      </c>
      <c r="H105" s="26" t="str">
        <f>Source!DG34</f>
        <v/>
      </c>
      <c r="I105" s="10">
        <f>Source!AV34</f>
        <v>1.0669999999999999</v>
      </c>
      <c r="J105" s="28">
        <f>ROUND((ROUND((Source!AF34*Source!AV34*Source!I34),2)),2)</f>
        <v>388.92</v>
      </c>
      <c r="K105" s="10">
        <f>IF(Source!BA34&lt;&gt; 0, Source!BA34, 1)</f>
        <v>24.82</v>
      </c>
      <c r="L105" s="28">
        <f>Source!S34</f>
        <v>9652.99</v>
      </c>
      <c r="W105">
        <f>J105</f>
        <v>388.92</v>
      </c>
    </row>
    <row r="106" spans="1:27" ht="14.25" x14ac:dyDescent="0.2">
      <c r="A106" s="23"/>
      <c r="B106" s="23"/>
      <c r="C106" s="24"/>
      <c r="D106" s="24" t="s">
        <v>253</v>
      </c>
      <c r="E106" s="25"/>
      <c r="F106" s="10"/>
      <c r="G106" s="27">
        <f>Source!AM34</f>
        <v>1.18</v>
      </c>
      <c r="H106" s="26" t="str">
        <f>Source!DE34</f>
        <v/>
      </c>
      <c r="I106" s="10">
        <f>Source!AV34</f>
        <v>1.0669999999999999</v>
      </c>
      <c r="J106" s="28">
        <f>(ROUND((ROUND(((Source!ET34)*Source!AV34*Source!I34),2)),2)+ROUND((ROUND(((Source!AE34-(Source!EU34))*Source!AV34*Source!I34),2)),2))</f>
        <v>12.59</v>
      </c>
      <c r="K106" s="10">
        <f>IF(Source!BB34&lt;&gt; 0, Source!BB34, 1)</f>
        <v>7.86</v>
      </c>
      <c r="L106" s="28">
        <f>Source!Q34</f>
        <v>98.96</v>
      </c>
    </row>
    <row r="107" spans="1:27" ht="14.25" x14ac:dyDescent="0.2">
      <c r="A107" s="23"/>
      <c r="B107" s="23"/>
      <c r="C107" s="24"/>
      <c r="D107" s="24" t="s">
        <v>254</v>
      </c>
      <c r="E107" s="25"/>
      <c r="F107" s="10"/>
      <c r="G107" s="27">
        <f>Source!AN34</f>
        <v>0.17</v>
      </c>
      <c r="H107" s="26" t="str">
        <f>Source!DF34</f>
        <v/>
      </c>
      <c r="I107" s="10">
        <f>Source!AV34</f>
        <v>1.0669999999999999</v>
      </c>
      <c r="J107" s="29">
        <f>ROUND((ROUND((Source!AE34*Source!AV34*Source!I34),2)),2)</f>
        <v>1.81</v>
      </c>
      <c r="K107" s="10">
        <f>IF(Source!BS34&lt;&gt; 0, Source!BS34, 1)</f>
        <v>24.82</v>
      </c>
      <c r="L107" s="29">
        <f>Source!R34</f>
        <v>44.92</v>
      </c>
      <c r="W107">
        <f>J107</f>
        <v>1.81</v>
      </c>
    </row>
    <row r="108" spans="1:27" ht="14.25" x14ac:dyDescent="0.2">
      <c r="A108" s="23"/>
      <c r="B108" s="23"/>
      <c r="C108" s="24"/>
      <c r="D108" s="24" t="s">
        <v>255</v>
      </c>
      <c r="E108" s="25"/>
      <c r="F108" s="10"/>
      <c r="G108" s="27">
        <f>Source!AL34</f>
        <v>7.53</v>
      </c>
      <c r="H108" s="26" t="str">
        <f>Source!DD34</f>
        <v/>
      </c>
      <c r="I108" s="10">
        <f>Source!AW34</f>
        <v>1.028</v>
      </c>
      <c r="J108" s="28">
        <f>ROUND((ROUND((Source!AC34*Source!AW34*Source!I34),2)),2)</f>
        <v>77.41</v>
      </c>
      <c r="K108" s="10">
        <f>IF(Source!BC34&lt;&gt; 0, Source!BC34, 1)</f>
        <v>7.77</v>
      </c>
      <c r="L108" s="28">
        <f>Source!P34</f>
        <v>601.48</v>
      </c>
    </row>
    <row r="109" spans="1:27" ht="14.25" x14ac:dyDescent="0.2">
      <c r="A109" s="23"/>
      <c r="B109" s="23"/>
      <c r="C109" s="24"/>
      <c r="D109" s="24" t="s">
        <v>256</v>
      </c>
      <c r="E109" s="25" t="s">
        <v>257</v>
      </c>
      <c r="F109" s="10">
        <f>Source!DN34</f>
        <v>114</v>
      </c>
      <c r="G109" s="27"/>
      <c r="H109" s="26"/>
      <c r="I109" s="10"/>
      <c r="J109" s="28">
        <f>SUM(Q104:Q108)</f>
        <v>443.37</v>
      </c>
      <c r="K109" s="10">
        <f>Source!BZ34</f>
        <v>77</v>
      </c>
      <c r="L109" s="28">
        <f>SUM(R104:R108)</f>
        <v>7432.8</v>
      </c>
    </row>
    <row r="110" spans="1:27" ht="14.25" x14ac:dyDescent="0.2">
      <c r="A110" s="23"/>
      <c r="B110" s="23"/>
      <c r="C110" s="24"/>
      <c r="D110" s="24" t="s">
        <v>258</v>
      </c>
      <c r="E110" s="25" t="s">
        <v>257</v>
      </c>
      <c r="F110" s="10">
        <f>Source!DO34</f>
        <v>67</v>
      </c>
      <c r="G110" s="27"/>
      <c r="H110" s="26"/>
      <c r="I110" s="10"/>
      <c r="J110" s="28">
        <f>SUM(S104:S109)</f>
        <v>260.58</v>
      </c>
      <c r="K110" s="10">
        <f>Source!CA34</f>
        <v>41</v>
      </c>
      <c r="L110" s="28">
        <f>SUM(T104:T109)</f>
        <v>3957.73</v>
      </c>
    </row>
    <row r="111" spans="1:27" ht="14.25" x14ac:dyDescent="0.2">
      <c r="A111" s="23"/>
      <c r="B111" s="23"/>
      <c r="C111" s="24"/>
      <c r="D111" s="24" t="s">
        <v>259</v>
      </c>
      <c r="E111" s="25" t="s">
        <v>257</v>
      </c>
      <c r="F111" s="10">
        <f>175</f>
        <v>175</v>
      </c>
      <c r="G111" s="27"/>
      <c r="H111" s="26"/>
      <c r="I111" s="10"/>
      <c r="J111" s="28">
        <f>SUM(U104:U110)</f>
        <v>3.17</v>
      </c>
      <c r="K111" s="10">
        <f>157</f>
        <v>157</v>
      </c>
      <c r="L111" s="28">
        <f>SUM(V104:V110)</f>
        <v>70.52</v>
      </c>
    </row>
    <row r="112" spans="1:27" ht="14.25" x14ac:dyDescent="0.2">
      <c r="A112" s="23"/>
      <c r="B112" s="23"/>
      <c r="C112" s="24"/>
      <c r="D112" s="24" t="s">
        <v>260</v>
      </c>
      <c r="E112" s="25" t="s">
        <v>261</v>
      </c>
      <c r="F112" s="10">
        <f>Source!AQ34</f>
        <v>2.5099999999999998</v>
      </c>
      <c r="G112" s="27"/>
      <c r="H112" s="26" t="str">
        <f>Source!DI34</f>
        <v/>
      </c>
      <c r="I112" s="10">
        <f>Source!AV34</f>
        <v>1.0669999999999999</v>
      </c>
      <c r="J112" s="28">
        <f>Source!U34</f>
        <v>26.781699999999997</v>
      </c>
      <c r="K112" s="10"/>
      <c r="L112" s="28"/>
    </row>
    <row r="113" spans="1:27" ht="15" x14ac:dyDescent="0.25">
      <c r="A113" s="31"/>
      <c r="B113" s="31"/>
      <c r="C113" s="31"/>
      <c r="D113" s="31"/>
      <c r="E113" s="31"/>
      <c r="F113" s="31"/>
      <c r="G113" s="31"/>
      <c r="H113" s="31"/>
      <c r="I113" s="56">
        <f>J105+J106+J108+J109+J110+J111</f>
        <v>1186.04</v>
      </c>
      <c r="J113" s="56"/>
      <c r="K113" s="56">
        <f>L105+L106+L108+L109+L110+L111</f>
        <v>21814.48</v>
      </c>
      <c r="L113" s="56"/>
      <c r="O113" s="30">
        <f>J105+J106+J108+J109+J110+J111</f>
        <v>1186.04</v>
      </c>
      <c r="P113" s="30">
        <f>L105+L106+L108+L109+L110+L111</f>
        <v>21814.48</v>
      </c>
      <c r="X113">
        <f>IF(Source!BI34&lt;=1,J105+J106+J108+J109+J110+J111-0, 0)</f>
        <v>0</v>
      </c>
      <c r="Y113">
        <f>IF(Source!BI34=2,J105+J106+J108+J109+J110+J111-0, 0)</f>
        <v>1186.04</v>
      </c>
      <c r="Z113">
        <f>IF(Source!BI34=3,J105+J106+J108+J109+J110+J111-0, 0)</f>
        <v>0</v>
      </c>
      <c r="AA113">
        <f>IF(Source!BI34=4,J105+J106+J108+J109+J110+J111,0)</f>
        <v>0</v>
      </c>
    </row>
    <row r="114" spans="1:27" ht="28.5" x14ac:dyDescent="0.2">
      <c r="A114" s="23">
        <v>8</v>
      </c>
      <c r="B114" s="23" t="str">
        <f>Source!E35</f>
        <v>8</v>
      </c>
      <c r="C114" s="24" t="str">
        <f>Source!F35</f>
        <v>4.8-47-2</v>
      </c>
      <c r="D114" s="24" t="s">
        <v>68</v>
      </c>
      <c r="E114" s="25" t="str">
        <f>Source!H35</f>
        <v>100 м</v>
      </c>
      <c r="F114" s="10">
        <f>Source!I35</f>
        <v>0.09</v>
      </c>
      <c r="G114" s="27"/>
      <c r="H114" s="26"/>
      <c r="I114" s="10"/>
      <c r="J114" s="28"/>
      <c r="K114" s="10"/>
      <c r="L114" s="28"/>
      <c r="Q114">
        <f>ROUND((Source!DN35/100)*ROUND((ROUND((Source!AF35*Source!AV35*Source!I35),2)),2), 2)</f>
        <v>90.45</v>
      </c>
      <c r="R114">
        <f>Source!X35</f>
        <v>1309.2</v>
      </c>
      <c r="S114">
        <f>ROUND((Source!DO35/100)*ROUND((ROUND((Source!AF35*Source!AV35*Source!I35),2)),2), 2)</f>
        <v>53.16</v>
      </c>
      <c r="T114">
        <f>Source!Y35</f>
        <v>697.11</v>
      </c>
      <c r="U114">
        <f>ROUND((175/100)*ROUND((ROUND((Source!AE35*Source!AV35*Source!I35),2)),2), 2)</f>
        <v>24.03</v>
      </c>
      <c r="V114">
        <f>ROUND((157/100)*ROUND(ROUND((ROUND((Source!AE35*Source!AV35*Source!I35),2)*Source!BS35),2), 2), 2)</f>
        <v>461.94</v>
      </c>
    </row>
    <row r="115" spans="1:27" x14ac:dyDescent="0.2">
      <c r="D115" s="32" t="str">
        <f>"Объем: "&amp;Source!I35&amp;"=9/"&amp;"100"</f>
        <v>Объем: 0,09=9/100</v>
      </c>
    </row>
    <row r="116" spans="1:27" ht="14.25" x14ac:dyDescent="0.2">
      <c r="A116" s="23"/>
      <c r="B116" s="23"/>
      <c r="C116" s="24"/>
      <c r="D116" s="24" t="s">
        <v>252</v>
      </c>
      <c r="E116" s="25"/>
      <c r="F116" s="10"/>
      <c r="G116" s="27">
        <f>Source!AO35</f>
        <v>701.67</v>
      </c>
      <c r="H116" s="26" t="str">
        <f>Source!DG35</f>
        <v>)*1,2</v>
      </c>
      <c r="I116" s="10">
        <f>Source!AV35</f>
        <v>1.0469999999999999</v>
      </c>
      <c r="J116" s="28">
        <f>ROUND((ROUND((Source!AF35*Source!AV35*Source!I35),2)),2)</f>
        <v>79.34</v>
      </c>
      <c r="K116" s="10">
        <f>IF(Source!BA35&lt;&gt; 0, Source!BA35, 1)</f>
        <v>21.43</v>
      </c>
      <c r="L116" s="28">
        <f>Source!S35</f>
        <v>1700.26</v>
      </c>
      <c r="W116">
        <f>J116</f>
        <v>79.34</v>
      </c>
    </row>
    <row r="117" spans="1:27" ht="14.25" x14ac:dyDescent="0.2">
      <c r="A117" s="23"/>
      <c r="B117" s="23"/>
      <c r="C117" s="24"/>
      <c r="D117" s="24" t="s">
        <v>253</v>
      </c>
      <c r="E117" s="25"/>
      <c r="F117" s="10"/>
      <c r="G117" s="27">
        <f>Source!AM35</f>
        <v>523.13</v>
      </c>
      <c r="H117" s="26" t="str">
        <f>Source!DE35</f>
        <v>)*1,2</v>
      </c>
      <c r="I117" s="10">
        <f>Source!AV35</f>
        <v>1.0469999999999999</v>
      </c>
      <c r="J117" s="28">
        <f>(ROUND((ROUND((((Source!ET35*1.2))*Source!AV35*Source!I35),2)),2)+ROUND((ROUND(((Source!AE35-((Source!EU35*1.2)))*Source!AV35*Source!I35),2)),2))</f>
        <v>59.15</v>
      </c>
      <c r="K117" s="10">
        <f>IF(Source!BB35&lt;&gt; 0, Source!BB35, 1)</f>
        <v>9.94</v>
      </c>
      <c r="L117" s="28">
        <f>Source!Q35</f>
        <v>587.95000000000005</v>
      </c>
    </row>
    <row r="118" spans="1:27" ht="14.25" x14ac:dyDescent="0.2">
      <c r="A118" s="23"/>
      <c r="B118" s="23"/>
      <c r="C118" s="24"/>
      <c r="D118" s="24" t="s">
        <v>254</v>
      </c>
      <c r="E118" s="25"/>
      <c r="F118" s="10"/>
      <c r="G118" s="27">
        <f>Source!AN35</f>
        <v>121.38</v>
      </c>
      <c r="H118" s="26" t="str">
        <f>Source!DF35</f>
        <v>)*1,2</v>
      </c>
      <c r="I118" s="10">
        <f>Source!AV35</f>
        <v>1.0469999999999999</v>
      </c>
      <c r="J118" s="29">
        <f>ROUND((ROUND((Source!AE35*Source!AV35*Source!I35),2)),2)</f>
        <v>13.73</v>
      </c>
      <c r="K118" s="10">
        <f>IF(Source!BS35&lt;&gt; 0, Source!BS35, 1)</f>
        <v>21.43</v>
      </c>
      <c r="L118" s="29">
        <f>Source!R35</f>
        <v>294.23</v>
      </c>
      <c r="W118">
        <f>J118</f>
        <v>13.73</v>
      </c>
    </row>
    <row r="119" spans="1:27" ht="14.25" x14ac:dyDescent="0.2">
      <c r="A119" s="23"/>
      <c r="B119" s="23"/>
      <c r="C119" s="24"/>
      <c r="D119" s="24" t="s">
        <v>255</v>
      </c>
      <c r="E119" s="25"/>
      <c r="F119" s="10"/>
      <c r="G119" s="27">
        <f>Source!AL35</f>
        <v>81.2</v>
      </c>
      <c r="H119" s="26" t="str">
        <f>Source!DD35</f>
        <v/>
      </c>
      <c r="I119" s="10">
        <f>Source!AW35</f>
        <v>1</v>
      </c>
      <c r="J119" s="28">
        <f>ROUND((ROUND((Source!AC35*Source!AW35*Source!I35),2)),2)</f>
        <v>7.31</v>
      </c>
      <c r="K119" s="10">
        <f>IF(Source!BC35&lt;&gt; 0, Source!BC35, 1)</f>
        <v>5.28</v>
      </c>
      <c r="L119" s="28">
        <f>Source!P35</f>
        <v>38.6</v>
      </c>
    </row>
    <row r="120" spans="1:27" ht="14.25" x14ac:dyDescent="0.2">
      <c r="A120" s="23"/>
      <c r="B120" s="23"/>
      <c r="C120" s="24"/>
      <c r="D120" s="24" t="s">
        <v>256</v>
      </c>
      <c r="E120" s="25" t="s">
        <v>257</v>
      </c>
      <c r="F120" s="10">
        <f>Source!DN35</f>
        <v>114</v>
      </c>
      <c r="G120" s="27"/>
      <c r="H120" s="26"/>
      <c r="I120" s="10"/>
      <c r="J120" s="28">
        <f>SUM(Q114:Q119)</f>
        <v>90.45</v>
      </c>
      <c r="K120" s="10">
        <f>Source!BZ35</f>
        <v>77</v>
      </c>
      <c r="L120" s="28">
        <f>SUM(R114:R119)</f>
        <v>1309.2</v>
      </c>
    </row>
    <row r="121" spans="1:27" ht="14.25" x14ac:dyDescent="0.2">
      <c r="A121" s="23"/>
      <c r="B121" s="23"/>
      <c r="C121" s="24"/>
      <c r="D121" s="24" t="s">
        <v>258</v>
      </c>
      <c r="E121" s="25" t="s">
        <v>257</v>
      </c>
      <c r="F121" s="10">
        <f>Source!DO35</f>
        <v>67</v>
      </c>
      <c r="G121" s="27"/>
      <c r="H121" s="26"/>
      <c r="I121" s="10"/>
      <c r="J121" s="28">
        <f>SUM(S114:S120)</f>
        <v>53.16</v>
      </c>
      <c r="K121" s="10">
        <f>Source!CA35</f>
        <v>41</v>
      </c>
      <c r="L121" s="28">
        <f>SUM(T114:T120)</f>
        <v>697.11</v>
      </c>
    </row>
    <row r="122" spans="1:27" ht="14.25" x14ac:dyDescent="0.2">
      <c r="A122" s="23"/>
      <c r="B122" s="23"/>
      <c r="C122" s="24"/>
      <c r="D122" s="24" t="s">
        <v>259</v>
      </c>
      <c r="E122" s="25" t="s">
        <v>257</v>
      </c>
      <c r="F122" s="10">
        <f>175</f>
        <v>175</v>
      </c>
      <c r="G122" s="27"/>
      <c r="H122" s="26"/>
      <c r="I122" s="10"/>
      <c r="J122" s="28">
        <f>SUM(U114:U121)</f>
        <v>24.03</v>
      </c>
      <c r="K122" s="10">
        <f>157</f>
        <v>157</v>
      </c>
      <c r="L122" s="28">
        <f>SUM(V114:V121)</f>
        <v>461.94</v>
      </c>
    </row>
    <row r="123" spans="1:27" ht="14.25" x14ac:dyDescent="0.2">
      <c r="A123" s="23"/>
      <c r="B123" s="23"/>
      <c r="C123" s="24"/>
      <c r="D123" s="24" t="s">
        <v>260</v>
      </c>
      <c r="E123" s="25" t="s">
        <v>261</v>
      </c>
      <c r="F123" s="10">
        <f>Source!AQ35</f>
        <v>55.6</v>
      </c>
      <c r="G123" s="27"/>
      <c r="H123" s="26" t="str">
        <f>Source!DI35</f>
        <v>)*1,2</v>
      </c>
      <c r="I123" s="10">
        <f>Source!AV35</f>
        <v>1.0469999999999999</v>
      </c>
      <c r="J123" s="28">
        <f>Source!U35</f>
        <v>6.2870255999999998</v>
      </c>
      <c r="K123" s="10"/>
      <c r="L123" s="28"/>
    </row>
    <row r="124" spans="1:27" ht="15" x14ac:dyDescent="0.25">
      <c r="A124" s="31"/>
      <c r="B124" s="31"/>
      <c r="C124" s="31"/>
      <c r="D124" s="31"/>
      <c r="E124" s="31"/>
      <c r="F124" s="31"/>
      <c r="G124" s="31"/>
      <c r="H124" s="31"/>
      <c r="I124" s="56">
        <f>J116+J117+J119+J120+J121+J122</f>
        <v>313.43999999999994</v>
      </c>
      <c r="J124" s="56"/>
      <c r="K124" s="56">
        <f>L116+L117+L119+L120+L121+L122</f>
        <v>4795.0599999999995</v>
      </c>
      <c r="L124" s="56"/>
      <c r="O124" s="30">
        <f>J116+J117+J119+J120+J121+J122</f>
        <v>313.43999999999994</v>
      </c>
      <c r="P124" s="30">
        <f>L116+L117+L119+L120+L121+L122</f>
        <v>4795.0599999999995</v>
      </c>
      <c r="X124">
        <f>IF(Source!BI35&lt;=1,J116+J117+J119+J120+J121+J122-0, 0)</f>
        <v>0</v>
      </c>
      <c r="Y124">
        <f>IF(Source!BI35=2,J116+J117+J119+J120+J121+J122-0, 0)</f>
        <v>313.43999999999994</v>
      </c>
      <c r="Z124">
        <f>IF(Source!BI35=3,J116+J117+J119+J120+J121+J122-0, 0)</f>
        <v>0</v>
      </c>
      <c r="AA124">
        <f>IF(Source!BI35=4,J116+J117+J119+J120+J121+J122,0)</f>
        <v>0</v>
      </c>
    </row>
    <row r="125" spans="1:27" ht="114" x14ac:dyDescent="0.2">
      <c r="A125" s="23">
        <v>9</v>
      </c>
      <c r="B125" s="23" t="str">
        <f>Source!E36</f>
        <v>9</v>
      </c>
      <c r="C125" s="24" t="str">
        <f>Source!F36</f>
        <v>4.8-241-6</v>
      </c>
      <c r="D125" s="24" t="s">
        <v>72</v>
      </c>
      <c r="E125" s="25" t="str">
        <f>Source!H36</f>
        <v>100 жил</v>
      </c>
      <c r="F125" s="10">
        <f>Source!I36</f>
        <v>0.32</v>
      </c>
      <c r="G125" s="27"/>
      <c r="H125" s="26"/>
      <c r="I125" s="10"/>
      <c r="J125" s="28"/>
      <c r="K125" s="10"/>
      <c r="L125" s="28"/>
      <c r="Q125">
        <f>ROUND((Source!DN36/100)*ROUND((ROUND((Source!AF36*Source!AV36*Source!I36),2)),2), 2)</f>
        <v>374.36</v>
      </c>
      <c r="R125">
        <f>Source!X36</f>
        <v>6275.99</v>
      </c>
      <c r="S125">
        <f>ROUND((Source!DO36/100)*ROUND((ROUND((Source!AF36*Source!AV36*Source!I36),2)),2), 2)</f>
        <v>220.02</v>
      </c>
      <c r="T125">
        <f>Source!Y36</f>
        <v>3341.76</v>
      </c>
      <c r="U125">
        <f>ROUND((175/100)*ROUND((ROUND((Source!AE36*Source!AV36*Source!I36),2)),2), 2)</f>
        <v>1.73</v>
      </c>
      <c r="V125">
        <f>ROUND((157/100)*ROUND(ROUND((ROUND((Source!AE36*Source!AV36*Source!I36),2)*Source!BS36),2), 2), 2)</f>
        <v>38.57</v>
      </c>
    </row>
    <row r="126" spans="1:27" x14ac:dyDescent="0.2">
      <c r="D126" s="32" t="str">
        <f>"Объем: "&amp;Source!I36&amp;"=(32)/"&amp;"100"</f>
        <v>Объем: 0,32=(32)/100</v>
      </c>
    </row>
    <row r="127" spans="1:27" ht="14.25" x14ac:dyDescent="0.2">
      <c r="A127" s="23"/>
      <c r="B127" s="23"/>
      <c r="C127" s="24"/>
      <c r="D127" s="24" t="s">
        <v>252</v>
      </c>
      <c r="E127" s="25"/>
      <c r="F127" s="10"/>
      <c r="G127" s="27">
        <f>Source!AO36</f>
        <v>816.79</v>
      </c>
      <c r="H127" s="26" t="str">
        <f>Source!DG36</f>
        <v>)*1,2</v>
      </c>
      <c r="I127" s="10">
        <f>Source!AV36</f>
        <v>1.0469999999999999</v>
      </c>
      <c r="J127" s="28">
        <f>ROUND((ROUND((Source!AF36*Source!AV36*Source!I36),2)),2)</f>
        <v>328.39</v>
      </c>
      <c r="K127" s="10">
        <f>IF(Source!BA36&lt;&gt; 0, Source!BA36, 1)</f>
        <v>24.82</v>
      </c>
      <c r="L127" s="28">
        <f>Source!S36</f>
        <v>8150.64</v>
      </c>
      <c r="W127">
        <f>J127</f>
        <v>328.39</v>
      </c>
    </row>
    <row r="128" spans="1:27" ht="14.25" x14ac:dyDescent="0.2">
      <c r="A128" s="23"/>
      <c r="B128" s="23"/>
      <c r="C128" s="24"/>
      <c r="D128" s="24" t="s">
        <v>253</v>
      </c>
      <c r="E128" s="25"/>
      <c r="F128" s="10"/>
      <c r="G128" s="27">
        <f>Source!AM36</f>
        <v>23.34</v>
      </c>
      <c r="H128" s="26" t="str">
        <f>Source!DE36</f>
        <v>)*1,2</v>
      </c>
      <c r="I128" s="10">
        <f>Source!AV36</f>
        <v>1.0469999999999999</v>
      </c>
      <c r="J128" s="28">
        <f>(ROUND((ROUND((((Source!ET36*1.2))*Source!AV36*Source!I36),2)),2)+ROUND((ROUND(((Source!AE36-((Source!EU36*1.2)))*Source!AV36*Source!I36),2)),2))</f>
        <v>9.3800000000000008</v>
      </c>
      <c r="K128" s="10">
        <f>IF(Source!BB36&lt;&gt; 0, Source!BB36, 1)</f>
        <v>7.69</v>
      </c>
      <c r="L128" s="28">
        <f>Source!Q36</f>
        <v>72.13</v>
      </c>
    </row>
    <row r="129" spans="1:27" ht="14.25" x14ac:dyDescent="0.2">
      <c r="A129" s="23"/>
      <c r="B129" s="23"/>
      <c r="C129" s="24"/>
      <c r="D129" s="24" t="s">
        <v>254</v>
      </c>
      <c r="E129" s="25"/>
      <c r="F129" s="10"/>
      <c r="G129" s="27">
        <f>Source!AN36</f>
        <v>2.46</v>
      </c>
      <c r="H129" s="26" t="str">
        <f>Source!DF36</f>
        <v>)*1,2</v>
      </c>
      <c r="I129" s="10">
        <f>Source!AV36</f>
        <v>1.0469999999999999</v>
      </c>
      <c r="J129" s="29">
        <f>ROUND((ROUND((Source!AE36*Source!AV36*Source!I36),2)),2)</f>
        <v>0.99</v>
      </c>
      <c r="K129" s="10">
        <f>IF(Source!BS36&lt;&gt; 0, Source!BS36, 1)</f>
        <v>24.82</v>
      </c>
      <c r="L129" s="29">
        <f>Source!R36</f>
        <v>24.57</v>
      </c>
      <c r="W129">
        <f>J129</f>
        <v>0.99</v>
      </c>
    </row>
    <row r="130" spans="1:27" ht="14.25" x14ac:dyDescent="0.2">
      <c r="A130" s="23"/>
      <c r="B130" s="23"/>
      <c r="C130" s="24"/>
      <c r="D130" s="24" t="s">
        <v>255</v>
      </c>
      <c r="E130" s="25"/>
      <c r="F130" s="10"/>
      <c r="G130" s="27">
        <f>Source!AL36</f>
        <v>529.9</v>
      </c>
      <c r="H130" s="26" t="str">
        <f>Source!DD36</f>
        <v/>
      </c>
      <c r="I130" s="10">
        <f>Source!AW36</f>
        <v>1</v>
      </c>
      <c r="J130" s="28">
        <f>ROUND((ROUND((Source!AC36*Source!AW36*Source!I36),2)),2)</f>
        <v>169.57</v>
      </c>
      <c r="K130" s="10">
        <f>IF(Source!BC36&lt;&gt; 0, Source!BC36, 1)</f>
        <v>5.29</v>
      </c>
      <c r="L130" s="28">
        <f>Source!P36</f>
        <v>897.03</v>
      </c>
    </row>
    <row r="131" spans="1:27" ht="14.25" x14ac:dyDescent="0.2">
      <c r="A131" s="23"/>
      <c r="B131" s="23"/>
      <c r="C131" s="24"/>
      <c r="D131" s="24" t="s">
        <v>256</v>
      </c>
      <c r="E131" s="25" t="s">
        <v>257</v>
      </c>
      <c r="F131" s="10">
        <f>Source!DN36</f>
        <v>114</v>
      </c>
      <c r="G131" s="27"/>
      <c r="H131" s="26"/>
      <c r="I131" s="10"/>
      <c r="J131" s="28">
        <f>SUM(Q125:Q130)</f>
        <v>374.36</v>
      </c>
      <c r="K131" s="10">
        <f>Source!BZ36</f>
        <v>77</v>
      </c>
      <c r="L131" s="28">
        <f>SUM(R125:R130)</f>
        <v>6275.99</v>
      </c>
    </row>
    <row r="132" spans="1:27" ht="14.25" x14ac:dyDescent="0.2">
      <c r="A132" s="23"/>
      <c r="B132" s="23"/>
      <c r="C132" s="24"/>
      <c r="D132" s="24" t="s">
        <v>258</v>
      </c>
      <c r="E132" s="25" t="s">
        <v>257</v>
      </c>
      <c r="F132" s="10">
        <f>Source!DO36</f>
        <v>67</v>
      </c>
      <c r="G132" s="27"/>
      <c r="H132" s="26"/>
      <c r="I132" s="10"/>
      <c r="J132" s="28">
        <f>SUM(S125:S131)</f>
        <v>220.02</v>
      </c>
      <c r="K132" s="10">
        <f>Source!CA36</f>
        <v>41</v>
      </c>
      <c r="L132" s="28">
        <f>SUM(T125:T131)</f>
        <v>3341.76</v>
      </c>
    </row>
    <row r="133" spans="1:27" ht="14.25" x14ac:dyDescent="0.2">
      <c r="A133" s="23"/>
      <c r="B133" s="23"/>
      <c r="C133" s="24"/>
      <c r="D133" s="24" t="s">
        <v>259</v>
      </c>
      <c r="E133" s="25" t="s">
        <v>257</v>
      </c>
      <c r="F133" s="10">
        <f>175</f>
        <v>175</v>
      </c>
      <c r="G133" s="27"/>
      <c r="H133" s="26"/>
      <c r="I133" s="10"/>
      <c r="J133" s="28">
        <f>SUM(U125:U132)</f>
        <v>1.73</v>
      </c>
      <c r="K133" s="10">
        <f>157</f>
        <v>157</v>
      </c>
      <c r="L133" s="28">
        <f>SUM(V125:V132)</f>
        <v>38.57</v>
      </c>
    </row>
    <row r="134" spans="1:27" ht="14.25" x14ac:dyDescent="0.2">
      <c r="A134" s="23"/>
      <c r="B134" s="23"/>
      <c r="C134" s="24"/>
      <c r="D134" s="24" t="s">
        <v>260</v>
      </c>
      <c r="E134" s="25" t="s">
        <v>261</v>
      </c>
      <c r="F134" s="10">
        <f>Source!AQ36</f>
        <v>62.83</v>
      </c>
      <c r="G134" s="27"/>
      <c r="H134" s="26" t="str">
        <f>Source!DI36</f>
        <v>)*1,2</v>
      </c>
      <c r="I134" s="10">
        <f>Source!AV36</f>
        <v>1.0469999999999999</v>
      </c>
      <c r="J134" s="28">
        <f>Source!U36</f>
        <v>25.260675840000001</v>
      </c>
      <c r="K134" s="10"/>
      <c r="L134" s="28"/>
    </row>
    <row r="135" spans="1:27" ht="15" x14ac:dyDescent="0.25">
      <c r="A135" s="31"/>
      <c r="B135" s="31"/>
      <c r="C135" s="31"/>
      <c r="D135" s="31"/>
      <c r="E135" s="31"/>
      <c r="F135" s="31"/>
      <c r="G135" s="31"/>
      <c r="H135" s="31"/>
      <c r="I135" s="56">
        <f>J127+J128+J130+J131+J132+J133</f>
        <v>1103.45</v>
      </c>
      <c r="J135" s="56"/>
      <c r="K135" s="56">
        <f>L127+L128+L130+L131+L132+L133</f>
        <v>18776.120000000003</v>
      </c>
      <c r="L135" s="56"/>
      <c r="O135" s="30">
        <f>J127+J128+J130+J131+J132+J133</f>
        <v>1103.45</v>
      </c>
      <c r="P135" s="30">
        <f>L127+L128+L130+L131+L132+L133</f>
        <v>18776.120000000003</v>
      </c>
      <c r="X135">
        <f>IF(Source!BI36&lt;=1,J127+J128+J130+J131+J132+J133-0, 0)</f>
        <v>0</v>
      </c>
      <c r="Y135">
        <f>IF(Source!BI36=2,J127+J128+J130+J131+J132+J133-0, 0)</f>
        <v>1103.45</v>
      </c>
      <c r="Z135">
        <f>IF(Source!BI36=3,J127+J128+J130+J131+J132+J133-0, 0)</f>
        <v>0</v>
      </c>
      <c r="AA135">
        <f>IF(Source!BI36=4,J127+J128+J130+J131+J132+J133,0)</f>
        <v>0</v>
      </c>
    </row>
    <row r="136" spans="1:27" ht="42.75" x14ac:dyDescent="0.2">
      <c r="A136" s="23">
        <v>10</v>
      </c>
      <c r="B136" s="23" t="str">
        <f>Source!E37</f>
        <v>10</v>
      </c>
      <c r="C136" s="24" t="str">
        <f>Source!F37</f>
        <v>4.8-76-1</v>
      </c>
      <c r="D136" s="24" t="s">
        <v>77</v>
      </c>
      <c r="E136" s="25" t="str">
        <f>Source!H37</f>
        <v>100 шт.</v>
      </c>
      <c r="F136" s="10">
        <f>Source!I37</f>
        <v>0.15</v>
      </c>
      <c r="G136" s="27"/>
      <c r="H136" s="26"/>
      <c r="I136" s="10"/>
      <c r="J136" s="28"/>
      <c r="K136" s="10"/>
      <c r="L136" s="28"/>
      <c r="Q136">
        <f>ROUND((Source!DN37/100)*ROUND((ROUND((Source!AF37*Source!AV37*Source!I37),2)),2), 2)</f>
        <v>32.130000000000003</v>
      </c>
      <c r="R136">
        <f>Source!X37</f>
        <v>538.55999999999995</v>
      </c>
      <c r="S136">
        <f>ROUND((Source!DO37/100)*ROUND((ROUND((Source!AF37*Source!AV37*Source!I37),2)),2), 2)</f>
        <v>18.88</v>
      </c>
      <c r="T136">
        <f>Source!Y37</f>
        <v>286.77</v>
      </c>
      <c r="U136">
        <f>ROUND((175/100)*ROUND((ROUND((Source!AE37*Source!AV37*Source!I37),2)),2), 2)</f>
        <v>0</v>
      </c>
      <c r="V136">
        <f>ROUND((157/100)*ROUND(ROUND((ROUND((Source!AE37*Source!AV37*Source!I37),2)*Source!BS37),2), 2), 2)</f>
        <v>0</v>
      </c>
    </row>
    <row r="137" spans="1:27" x14ac:dyDescent="0.2">
      <c r="D137" s="32" t="str">
        <f>"Объем: "&amp;Source!I37&amp;"=(15)/"&amp;"100"</f>
        <v>Объем: 0,15=(15)/100</v>
      </c>
    </row>
    <row r="138" spans="1:27" ht="14.25" x14ac:dyDescent="0.2">
      <c r="A138" s="23"/>
      <c r="B138" s="23"/>
      <c r="C138" s="24"/>
      <c r="D138" s="24" t="s">
        <v>252</v>
      </c>
      <c r="E138" s="25"/>
      <c r="F138" s="10"/>
      <c r="G138" s="27">
        <f>Source!AO37</f>
        <v>146.72999999999999</v>
      </c>
      <c r="H138" s="26" t="str">
        <f>Source!DG37</f>
        <v>)*1,2</v>
      </c>
      <c r="I138" s="10">
        <f>Source!AV37</f>
        <v>1.0669999999999999</v>
      </c>
      <c r="J138" s="28">
        <f>ROUND((ROUND((Source!AF37*Source!AV37*Source!I37),2)),2)</f>
        <v>28.18</v>
      </c>
      <c r="K138" s="10">
        <f>IF(Source!BA37&lt;&gt; 0, Source!BA37, 1)</f>
        <v>24.82</v>
      </c>
      <c r="L138" s="28">
        <f>Source!S37</f>
        <v>699.43</v>
      </c>
      <c r="W138">
        <f>J138</f>
        <v>28.18</v>
      </c>
    </row>
    <row r="139" spans="1:27" ht="14.25" x14ac:dyDescent="0.2">
      <c r="A139" s="23"/>
      <c r="B139" s="23"/>
      <c r="C139" s="24"/>
      <c r="D139" s="24" t="s">
        <v>255</v>
      </c>
      <c r="E139" s="25"/>
      <c r="F139" s="10"/>
      <c r="G139" s="27">
        <f>Source!AL37</f>
        <v>1.26</v>
      </c>
      <c r="H139" s="26" t="str">
        <f>Source!DD37</f>
        <v/>
      </c>
      <c r="I139" s="10">
        <f>Source!AW37</f>
        <v>1.081</v>
      </c>
      <c r="J139" s="28">
        <f>ROUND((ROUND((Source!AC37*Source!AW37*Source!I37),2)),2)</f>
        <v>0.2</v>
      </c>
      <c r="K139" s="10">
        <f>IF(Source!BC37&lt;&gt; 0, Source!BC37, 1)</f>
        <v>5.29</v>
      </c>
      <c r="L139" s="28">
        <f>Source!P37</f>
        <v>1.06</v>
      </c>
    </row>
    <row r="140" spans="1:27" ht="14.25" x14ac:dyDescent="0.2">
      <c r="A140" s="23"/>
      <c r="B140" s="23"/>
      <c r="C140" s="24"/>
      <c r="D140" s="24" t="s">
        <v>256</v>
      </c>
      <c r="E140" s="25" t="s">
        <v>257</v>
      </c>
      <c r="F140" s="10">
        <f>Source!DN37</f>
        <v>114</v>
      </c>
      <c r="G140" s="27"/>
      <c r="H140" s="26"/>
      <c r="I140" s="10"/>
      <c r="J140" s="28">
        <f>SUM(Q136:Q139)</f>
        <v>32.130000000000003</v>
      </c>
      <c r="K140" s="10">
        <f>Source!BZ37</f>
        <v>77</v>
      </c>
      <c r="L140" s="28">
        <f>SUM(R136:R139)</f>
        <v>538.55999999999995</v>
      </c>
    </row>
    <row r="141" spans="1:27" ht="14.25" x14ac:dyDescent="0.2">
      <c r="A141" s="23"/>
      <c r="B141" s="23"/>
      <c r="C141" s="24"/>
      <c r="D141" s="24" t="s">
        <v>258</v>
      </c>
      <c r="E141" s="25" t="s">
        <v>257</v>
      </c>
      <c r="F141" s="10">
        <f>Source!DO37</f>
        <v>67</v>
      </c>
      <c r="G141" s="27"/>
      <c r="H141" s="26"/>
      <c r="I141" s="10"/>
      <c r="J141" s="28">
        <f>SUM(S136:S140)</f>
        <v>18.88</v>
      </c>
      <c r="K141" s="10">
        <f>Source!CA37</f>
        <v>41</v>
      </c>
      <c r="L141" s="28">
        <f>SUM(T136:T140)</f>
        <v>286.77</v>
      </c>
    </row>
    <row r="142" spans="1:27" ht="14.25" x14ac:dyDescent="0.2">
      <c r="A142" s="23"/>
      <c r="B142" s="23"/>
      <c r="C142" s="24"/>
      <c r="D142" s="24" t="s">
        <v>260</v>
      </c>
      <c r="E142" s="25" t="s">
        <v>261</v>
      </c>
      <c r="F142" s="10">
        <f>Source!AQ37</f>
        <v>11.9</v>
      </c>
      <c r="G142" s="27"/>
      <c r="H142" s="26" t="str">
        <f>Source!DI37</f>
        <v>)*1,2</v>
      </c>
      <c r="I142" s="10">
        <f>Source!AV37</f>
        <v>1.0669999999999999</v>
      </c>
      <c r="J142" s="28">
        <f>Source!U37</f>
        <v>2.2855139999999996</v>
      </c>
      <c r="K142" s="10"/>
      <c r="L142" s="28"/>
    </row>
    <row r="143" spans="1:27" ht="15" x14ac:dyDescent="0.25">
      <c r="A143" s="31"/>
      <c r="B143" s="31"/>
      <c r="C143" s="31"/>
      <c r="D143" s="31"/>
      <c r="E143" s="31"/>
      <c r="F143" s="31"/>
      <c r="G143" s="31"/>
      <c r="H143" s="31"/>
      <c r="I143" s="56">
        <f>J138+J139+J140+J141</f>
        <v>79.39</v>
      </c>
      <c r="J143" s="56"/>
      <c r="K143" s="56">
        <f>L138+L139+L140+L141</f>
        <v>1525.8199999999997</v>
      </c>
      <c r="L143" s="56"/>
      <c r="O143" s="30">
        <f>J138+J139+J140+J141</f>
        <v>79.39</v>
      </c>
      <c r="P143" s="30">
        <f>L138+L139+L140+L141</f>
        <v>1525.8199999999997</v>
      </c>
      <c r="X143">
        <f>IF(Source!BI37&lt;=1,J138+J139+J140+J141-0, 0)</f>
        <v>0</v>
      </c>
      <c r="Y143">
        <f>IF(Source!BI37=2,J138+J139+J140+J141-0, 0)</f>
        <v>79.39</v>
      </c>
      <c r="Z143">
        <f>IF(Source!BI37=3,J138+J139+J140+J141-0, 0)</f>
        <v>0</v>
      </c>
      <c r="AA143">
        <f>IF(Source!BI37=4,J138+J139+J140+J141,0)</f>
        <v>0</v>
      </c>
    </row>
    <row r="145" spans="1:27" ht="15" x14ac:dyDescent="0.25">
      <c r="A145" s="55" t="str">
        <f>CONCATENATE("Итого по разделу: ",IF(Source!G39&lt;&gt;"Новый раздел", Source!G39, ""))</f>
        <v>Итого по разделу: Электромонтажные работы.</v>
      </c>
      <c r="B145" s="55"/>
      <c r="C145" s="55"/>
      <c r="D145" s="55"/>
      <c r="E145" s="55"/>
      <c r="F145" s="55"/>
      <c r="G145" s="55"/>
      <c r="H145" s="55"/>
      <c r="I145" s="53">
        <f>SUM(O42:O144)</f>
        <v>6893.54</v>
      </c>
      <c r="J145" s="54"/>
      <c r="K145" s="53">
        <f>SUM(P42:P144)</f>
        <v>99324.12</v>
      </c>
      <c r="L145" s="54"/>
    </row>
    <row r="146" spans="1:27" hidden="1" x14ac:dyDescent="0.2">
      <c r="A146" t="s">
        <v>262</v>
      </c>
      <c r="I146">
        <f>SUM(AC42:AC145)</f>
        <v>0</v>
      </c>
      <c r="K146">
        <f>SUM(AD42:AD145)</f>
        <v>0</v>
      </c>
    </row>
    <row r="147" spans="1:27" hidden="1" x14ac:dyDescent="0.2">
      <c r="A147" t="s">
        <v>263</v>
      </c>
      <c r="I147">
        <f>SUM(AE42:AE146)</f>
        <v>0</v>
      </c>
      <c r="K147">
        <f>SUM(AF42:AF146)</f>
        <v>0</v>
      </c>
    </row>
    <row r="149" spans="1:27" ht="16.5" x14ac:dyDescent="0.25">
      <c r="A149" s="57" t="str">
        <f>CONCATENATE("Раздел: ",IF(Source!G69&lt;&gt;"Новый раздел", Source!G69, ""))</f>
        <v>Раздел: Пусконаладочные работы.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27" ht="28.5" x14ac:dyDescent="0.2">
      <c r="A150" s="23">
        <v>11</v>
      </c>
      <c r="B150" s="23" t="str">
        <f>Source!E73</f>
        <v>11</v>
      </c>
      <c r="C150" s="24" t="str">
        <f>Source!F73</f>
        <v>5.1-23-1</v>
      </c>
      <c r="D150" s="24" t="s">
        <v>137</v>
      </c>
      <c r="E150" s="25" t="str">
        <f>Source!H73</f>
        <v>шт.</v>
      </c>
      <c r="F150" s="10">
        <f>Source!I73</f>
        <v>7</v>
      </c>
      <c r="G150" s="27"/>
      <c r="H150" s="26"/>
      <c r="I150" s="10"/>
      <c r="J150" s="28"/>
      <c r="K150" s="10"/>
      <c r="L150" s="28"/>
      <c r="Q150">
        <f>ROUND((Source!DN73/100)*ROUND((ROUND((Source!AF73*Source!AV73*Source!I73),2)),2), 2)</f>
        <v>472.89</v>
      </c>
      <c r="R150">
        <f>Source!X73</f>
        <v>10641.67</v>
      </c>
      <c r="S150">
        <f>ROUND((Source!DO73/100)*ROUND((ROUND((Source!AF73*Source!AV73*Source!I73),2)),2), 2)</f>
        <v>441.36</v>
      </c>
      <c r="T150">
        <f>Source!Y73</f>
        <v>6416.3</v>
      </c>
      <c r="U150">
        <f>ROUND((175/100)*ROUND((ROUND((Source!AE73*Source!AV73*Source!I73),2)),2), 2)</f>
        <v>0</v>
      </c>
      <c r="V150">
        <f>ROUND((157/100)*ROUND(ROUND((ROUND((Source!AE73*Source!AV73*Source!I73),2)*Source!BS73),2), 2), 2)</f>
        <v>0</v>
      </c>
    </row>
    <row r="151" spans="1:27" ht="28.5" x14ac:dyDescent="0.2">
      <c r="A151" s="23"/>
      <c r="B151" s="23"/>
      <c r="C151" s="24"/>
      <c r="D151" s="24" t="s">
        <v>252</v>
      </c>
      <c r="E151" s="25"/>
      <c r="F151" s="10"/>
      <c r="G151" s="27">
        <f>Source!AO73</f>
        <v>86.61</v>
      </c>
      <c r="H151" s="26" t="str">
        <f>Source!DG73</f>
        <v>)*1,3)*0,8</v>
      </c>
      <c r="I151" s="10">
        <f>Source!AV73</f>
        <v>1</v>
      </c>
      <c r="J151" s="28">
        <f>ROUND((ROUND((Source!AF73*Source!AV73*Source!I73),2)),2)</f>
        <v>630.52</v>
      </c>
      <c r="K151" s="10">
        <f>IF(Source!BA73&lt;&gt; 0, Source!BA73, 1)</f>
        <v>24.82</v>
      </c>
      <c r="L151" s="28">
        <f>Source!S73</f>
        <v>15649.51</v>
      </c>
      <c r="W151">
        <f>J151</f>
        <v>630.52</v>
      </c>
    </row>
    <row r="152" spans="1:27" ht="14.25" x14ac:dyDescent="0.2">
      <c r="A152" s="23"/>
      <c r="B152" s="23"/>
      <c r="C152" s="24"/>
      <c r="D152" s="24" t="s">
        <v>256</v>
      </c>
      <c r="E152" s="25" t="s">
        <v>257</v>
      </c>
      <c r="F152" s="10">
        <f>Source!DN73</f>
        <v>75</v>
      </c>
      <c r="G152" s="27"/>
      <c r="H152" s="26"/>
      <c r="I152" s="10"/>
      <c r="J152" s="28">
        <f>SUM(Q150:Q151)</f>
        <v>472.89</v>
      </c>
      <c r="K152" s="10">
        <f>Source!BZ73</f>
        <v>68</v>
      </c>
      <c r="L152" s="28">
        <f>SUM(R150:R151)</f>
        <v>10641.67</v>
      </c>
    </row>
    <row r="153" spans="1:27" ht="14.25" x14ac:dyDescent="0.2">
      <c r="A153" s="23"/>
      <c r="B153" s="23"/>
      <c r="C153" s="24"/>
      <c r="D153" s="24" t="s">
        <v>258</v>
      </c>
      <c r="E153" s="25" t="s">
        <v>257</v>
      </c>
      <c r="F153" s="10">
        <f>Source!DO73</f>
        <v>70</v>
      </c>
      <c r="G153" s="27"/>
      <c r="H153" s="26"/>
      <c r="I153" s="10"/>
      <c r="J153" s="28">
        <f>SUM(S150:S152)</f>
        <v>441.36</v>
      </c>
      <c r="K153" s="10">
        <f>Source!CA73</f>
        <v>41</v>
      </c>
      <c r="L153" s="28">
        <f>SUM(T150:T152)</f>
        <v>6416.3</v>
      </c>
    </row>
    <row r="154" spans="1:27" ht="28.5" x14ac:dyDescent="0.2">
      <c r="A154" s="23"/>
      <c r="B154" s="23"/>
      <c r="C154" s="24"/>
      <c r="D154" s="24" t="s">
        <v>260</v>
      </c>
      <c r="E154" s="25" t="s">
        <v>261</v>
      </c>
      <c r="F154" s="10">
        <f>Source!AQ73</f>
        <v>5.4</v>
      </c>
      <c r="G154" s="27"/>
      <c r="H154" s="26" t="str">
        <f>Source!DI73</f>
        <v>)*1,3)*0,8</v>
      </c>
      <c r="I154" s="10">
        <f>Source!AV73</f>
        <v>1</v>
      </c>
      <c r="J154" s="28">
        <f>Source!U73</f>
        <v>39.312000000000005</v>
      </c>
      <c r="K154" s="10"/>
      <c r="L154" s="28"/>
    </row>
    <row r="155" spans="1:27" ht="15" x14ac:dyDescent="0.25">
      <c r="A155" s="31"/>
      <c r="B155" s="31"/>
      <c r="C155" s="31"/>
      <c r="D155" s="31"/>
      <c r="E155" s="31"/>
      <c r="F155" s="31"/>
      <c r="G155" s="31"/>
      <c r="H155" s="31"/>
      <c r="I155" s="56">
        <f>J151+J152+J153</f>
        <v>1544.77</v>
      </c>
      <c r="J155" s="56"/>
      <c r="K155" s="56">
        <f>L151+L152+L153</f>
        <v>32707.48</v>
      </c>
      <c r="L155" s="56"/>
      <c r="O155" s="30">
        <f>J151+J152+J153</f>
        <v>1544.77</v>
      </c>
      <c r="P155" s="30">
        <f>L151+L152+L153</f>
        <v>32707.48</v>
      </c>
      <c r="X155">
        <f>IF(Source!BI73&lt;=1,J151+J152+J153-0, 0)</f>
        <v>0</v>
      </c>
      <c r="Y155">
        <f>IF(Source!BI73=2,J151+J152+J153-0, 0)</f>
        <v>0</v>
      </c>
      <c r="Z155">
        <f>IF(Source!BI73=3,J151+J152+J153-0, 0)</f>
        <v>0</v>
      </c>
      <c r="AA155">
        <f>IF(Source!BI73=4,J151+J152+J153,0)</f>
        <v>1544.77</v>
      </c>
    </row>
    <row r="156" spans="1:27" ht="71.25" x14ac:dyDescent="0.2">
      <c r="A156" s="23">
        <v>12</v>
      </c>
      <c r="B156" s="23" t="str">
        <f>Source!E74</f>
        <v>12</v>
      </c>
      <c r="C156" s="24" t="str">
        <f>Source!F74</f>
        <v>5.1-20-7</v>
      </c>
      <c r="D156" s="24" t="s">
        <v>146</v>
      </c>
      <c r="E156" s="25" t="str">
        <f>Source!H74</f>
        <v>шт.</v>
      </c>
      <c r="F156" s="10">
        <f>Source!I74</f>
        <v>1</v>
      </c>
      <c r="G156" s="27"/>
      <c r="H156" s="26"/>
      <c r="I156" s="10"/>
      <c r="J156" s="28"/>
      <c r="K156" s="10"/>
      <c r="L156" s="28"/>
      <c r="Q156">
        <f>ROUND((Source!DN74/100)*ROUND((ROUND((Source!AF74*Source!AV74*Source!I74),2)),2), 2)</f>
        <v>43.18</v>
      </c>
      <c r="R156">
        <f>Source!X74</f>
        <v>971.65</v>
      </c>
      <c r="S156">
        <f>ROUND((Source!DO74/100)*ROUND((ROUND((Source!AF74*Source!AV74*Source!I74),2)),2), 2)</f>
        <v>40.299999999999997</v>
      </c>
      <c r="T156">
        <f>Source!Y74</f>
        <v>585.84</v>
      </c>
      <c r="U156">
        <f>ROUND((175/100)*ROUND((ROUND((Source!AE74*Source!AV74*Source!I74),2)),2), 2)</f>
        <v>0</v>
      </c>
      <c r="V156">
        <f>ROUND((157/100)*ROUND(ROUND((ROUND((Source!AE74*Source!AV74*Source!I74),2)*Source!BS74),2), 2), 2)</f>
        <v>0</v>
      </c>
    </row>
    <row r="157" spans="1:27" ht="28.5" x14ac:dyDescent="0.2">
      <c r="A157" s="23"/>
      <c r="B157" s="23"/>
      <c r="C157" s="24"/>
      <c r="D157" s="24" t="s">
        <v>252</v>
      </c>
      <c r="E157" s="25"/>
      <c r="F157" s="10"/>
      <c r="G157" s="27">
        <f>Source!AO74</f>
        <v>55.36</v>
      </c>
      <c r="H157" s="26" t="str">
        <f>Source!DG74</f>
        <v>)*1,3)*0,8</v>
      </c>
      <c r="I157" s="10">
        <f>Source!AV74</f>
        <v>1</v>
      </c>
      <c r="J157" s="28">
        <f>ROUND((ROUND((Source!AF74*Source!AV74*Source!I74),2)),2)</f>
        <v>57.57</v>
      </c>
      <c r="K157" s="10">
        <f>IF(Source!BA74&lt;&gt; 0, Source!BA74, 1)</f>
        <v>24.82</v>
      </c>
      <c r="L157" s="28">
        <f>Source!S74</f>
        <v>1428.89</v>
      </c>
      <c r="W157">
        <f>J157</f>
        <v>57.57</v>
      </c>
    </row>
    <row r="158" spans="1:27" ht="14.25" x14ac:dyDescent="0.2">
      <c r="A158" s="23"/>
      <c r="B158" s="23"/>
      <c r="C158" s="24"/>
      <c r="D158" s="24" t="s">
        <v>256</v>
      </c>
      <c r="E158" s="25" t="s">
        <v>257</v>
      </c>
      <c r="F158" s="10">
        <f>Source!DN74</f>
        <v>75</v>
      </c>
      <c r="G158" s="27"/>
      <c r="H158" s="26"/>
      <c r="I158" s="10"/>
      <c r="J158" s="28">
        <f>SUM(Q156:Q157)</f>
        <v>43.18</v>
      </c>
      <c r="K158" s="10">
        <f>Source!BZ74</f>
        <v>68</v>
      </c>
      <c r="L158" s="28">
        <f>SUM(R156:R157)</f>
        <v>971.65</v>
      </c>
    </row>
    <row r="159" spans="1:27" ht="14.25" x14ac:dyDescent="0.2">
      <c r="A159" s="23"/>
      <c r="B159" s="23"/>
      <c r="C159" s="24"/>
      <c r="D159" s="24" t="s">
        <v>258</v>
      </c>
      <c r="E159" s="25" t="s">
        <v>257</v>
      </c>
      <c r="F159" s="10">
        <f>Source!DO74</f>
        <v>70</v>
      </c>
      <c r="G159" s="27"/>
      <c r="H159" s="26"/>
      <c r="I159" s="10"/>
      <c r="J159" s="28">
        <f>SUM(S156:S158)</f>
        <v>40.299999999999997</v>
      </c>
      <c r="K159" s="10">
        <f>Source!CA74</f>
        <v>41</v>
      </c>
      <c r="L159" s="28">
        <f>SUM(T156:T158)</f>
        <v>585.84</v>
      </c>
    </row>
    <row r="160" spans="1:27" ht="28.5" x14ac:dyDescent="0.2">
      <c r="A160" s="23"/>
      <c r="B160" s="23"/>
      <c r="C160" s="24"/>
      <c r="D160" s="24" t="s">
        <v>260</v>
      </c>
      <c r="E160" s="25" t="s">
        <v>261</v>
      </c>
      <c r="F160" s="10">
        <f>Source!AQ74</f>
        <v>4.5</v>
      </c>
      <c r="G160" s="27"/>
      <c r="H160" s="26" t="str">
        <f>Source!DI74</f>
        <v>)*1,3)*0,8</v>
      </c>
      <c r="I160" s="10">
        <f>Source!AV74</f>
        <v>1</v>
      </c>
      <c r="J160" s="28">
        <f>Source!U74</f>
        <v>4.6800000000000006</v>
      </c>
      <c r="K160" s="10"/>
      <c r="L160" s="28"/>
    </row>
    <row r="161" spans="1:27" ht="15" x14ac:dyDescent="0.25">
      <c r="A161" s="31"/>
      <c r="B161" s="31"/>
      <c r="C161" s="31"/>
      <c r="D161" s="31"/>
      <c r="E161" s="31"/>
      <c r="F161" s="31"/>
      <c r="G161" s="31"/>
      <c r="H161" s="31"/>
      <c r="I161" s="56">
        <f>J157+J158+J159</f>
        <v>141.05000000000001</v>
      </c>
      <c r="J161" s="56"/>
      <c r="K161" s="56">
        <f>L157+L158+L159</f>
        <v>2986.38</v>
      </c>
      <c r="L161" s="56"/>
      <c r="O161" s="30">
        <f>J157+J158+J159</f>
        <v>141.05000000000001</v>
      </c>
      <c r="P161" s="30">
        <f>L157+L158+L159</f>
        <v>2986.38</v>
      </c>
      <c r="X161">
        <f>IF(Source!BI74&lt;=1,J157+J158+J159-0, 0)</f>
        <v>0</v>
      </c>
      <c r="Y161">
        <f>IF(Source!BI74=2,J157+J158+J159-0, 0)</f>
        <v>0</v>
      </c>
      <c r="Z161">
        <f>IF(Source!BI74=3,J157+J158+J159-0, 0)</f>
        <v>0</v>
      </c>
      <c r="AA161">
        <f>IF(Source!BI74=4,J157+J158+J159,0)</f>
        <v>141.05000000000001</v>
      </c>
    </row>
    <row r="162" spans="1:27" ht="28.5" x14ac:dyDescent="0.2">
      <c r="A162" s="23">
        <v>13</v>
      </c>
      <c r="B162" s="23" t="str">
        <f>Source!E75</f>
        <v>13</v>
      </c>
      <c r="C162" s="24" t="str">
        <f>Source!F75</f>
        <v>5.1-168-1</v>
      </c>
      <c r="D162" s="24" t="s">
        <v>150</v>
      </c>
      <c r="E162" s="25" t="str">
        <f>Source!H75</f>
        <v>испытание</v>
      </c>
      <c r="F162" s="10">
        <f>Source!I75</f>
        <v>3</v>
      </c>
      <c r="G162" s="27"/>
      <c r="H162" s="26"/>
      <c r="I162" s="10"/>
      <c r="J162" s="28"/>
      <c r="K162" s="10"/>
      <c r="L162" s="28"/>
      <c r="Q162">
        <f>ROUND((Source!DN75/100)*ROUND((ROUND((Source!AF75*Source!AV75*Source!I75),2)),2), 2)</f>
        <v>284.70999999999998</v>
      </c>
      <c r="R162">
        <f>Source!X75</f>
        <v>5531.83</v>
      </c>
      <c r="S162">
        <f>ROUND((Source!DO75/100)*ROUND((ROUND((Source!AF75*Source!AV75*Source!I75),2)),2), 2)</f>
        <v>265.73</v>
      </c>
      <c r="T162">
        <f>Source!Y75</f>
        <v>3335.37</v>
      </c>
      <c r="U162">
        <f>ROUND((175/100)*ROUND((ROUND((Source!AE75*Source!AV75*Source!I75),2)),2), 2)</f>
        <v>0</v>
      </c>
      <c r="V162">
        <f>ROUND((157/100)*ROUND(ROUND((ROUND((Source!AE75*Source!AV75*Source!I75),2)*Source!BS75),2), 2), 2)</f>
        <v>0</v>
      </c>
    </row>
    <row r="163" spans="1:27" ht="28.5" x14ac:dyDescent="0.2">
      <c r="A163" s="23"/>
      <c r="B163" s="23"/>
      <c r="C163" s="24"/>
      <c r="D163" s="24" t="s">
        <v>252</v>
      </c>
      <c r="E163" s="25"/>
      <c r="F163" s="10"/>
      <c r="G163" s="27">
        <f>Source!AO75</f>
        <v>121.67</v>
      </c>
      <c r="H163" s="26" t="str">
        <f>Source!DG75</f>
        <v>)*1,3)*0,8</v>
      </c>
      <c r="I163" s="10">
        <f>Source!AV75</f>
        <v>1</v>
      </c>
      <c r="J163" s="28">
        <f>ROUND((ROUND((Source!AF75*Source!AV75*Source!I75),2)),2)</f>
        <v>379.61</v>
      </c>
      <c r="K163" s="10">
        <f>IF(Source!BA75&lt;&gt; 0, Source!BA75, 1)</f>
        <v>21.43</v>
      </c>
      <c r="L163" s="28">
        <f>Source!S75</f>
        <v>8135.04</v>
      </c>
      <c r="W163">
        <f>J163</f>
        <v>379.61</v>
      </c>
    </row>
    <row r="164" spans="1:27" ht="14.25" x14ac:dyDescent="0.2">
      <c r="A164" s="23"/>
      <c r="B164" s="23"/>
      <c r="C164" s="24"/>
      <c r="D164" s="24" t="s">
        <v>256</v>
      </c>
      <c r="E164" s="25" t="s">
        <v>257</v>
      </c>
      <c r="F164" s="10">
        <f>Source!DN75</f>
        <v>75</v>
      </c>
      <c r="G164" s="27"/>
      <c r="H164" s="26"/>
      <c r="I164" s="10"/>
      <c r="J164" s="28">
        <f>SUM(Q162:Q163)</f>
        <v>284.70999999999998</v>
      </c>
      <c r="K164" s="10">
        <f>Source!BZ75</f>
        <v>68</v>
      </c>
      <c r="L164" s="28">
        <f>SUM(R162:R163)</f>
        <v>5531.83</v>
      </c>
    </row>
    <row r="165" spans="1:27" ht="14.25" x14ac:dyDescent="0.2">
      <c r="A165" s="23"/>
      <c r="B165" s="23"/>
      <c r="C165" s="24"/>
      <c r="D165" s="24" t="s">
        <v>258</v>
      </c>
      <c r="E165" s="25" t="s">
        <v>257</v>
      </c>
      <c r="F165" s="10">
        <f>Source!DO75</f>
        <v>70</v>
      </c>
      <c r="G165" s="27"/>
      <c r="H165" s="26"/>
      <c r="I165" s="10"/>
      <c r="J165" s="28">
        <f>SUM(S162:S164)</f>
        <v>265.73</v>
      </c>
      <c r="K165" s="10">
        <f>Source!CA75</f>
        <v>41</v>
      </c>
      <c r="L165" s="28">
        <f>SUM(T162:T164)</f>
        <v>3335.37</v>
      </c>
    </row>
    <row r="166" spans="1:27" ht="28.5" x14ac:dyDescent="0.2">
      <c r="A166" s="23"/>
      <c r="B166" s="23"/>
      <c r="C166" s="24"/>
      <c r="D166" s="24" t="s">
        <v>260</v>
      </c>
      <c r="E166" s="25" t="s">
        <v>261</v>
      </c>
      <c r="F166" s="10">
        <f>Source!AQ75</f>
        <v>8.1</v>
      </c>
      <c r="G166" s="27"/>
      <c r="H166" s="26" t="str">
        <f>Source!DI75</f>
        <v>)*1,3)*0,8</v>
      </c>
      <c r="I166" s="10">
        <f>Source!AV75</f>
        <v>1</v>
      </c>
      <c r="J166" s="28">
        <f>Source!U75</f>
        <v>25.271999999999998</v>
      </c>
      <c r="K166" s="10"/>
      <c r="L166" s="28"/>
    </row>
    <row r="167" spans="1:27" ht="15" x14ac:dyDescent="0.25">
      <c r="A167" s="31"/>
      <c r="B167" s="31"/>
      <c r="C167" s="31"/>
      <c r="D167" s="31"/>
      <c r="E167" s="31"/>
      <c r="F167" s="31"/>
      <c r="G167" s="31"/>
      <c r="H167" s="31"/>
      <c r="I167" s="56">
        <f>J163+J164+J165</f>
        <v>930.05</v>
      </c>
      <c r="J167" s="56"/>
      <c r="K167" s="56">
        <f>L163+L164+L165</f>
        <v>17002.239999999998</v>
      </c>
      <c r="L167" s="56"/>
      <c r="O167" s="30">
        <f>J163+J164+J165</f>
        <v>930.05</v>
      </c>
      <c r="P167" s="30">
        <f>L163+L164+L165</f>
        <v>17002.239999999998</v>
      </c>
      <c r="X167">
        <f>IF(Source!BI75&lt;=1,J163+J164+J165-0, 0)</f>
        <v>0</v>
      </c>
      <c r="Y167">
        <f>IF(Source!BI75=2,J163+J164+J165-0, 0)</f>
        <v>0</v>
      </c>
      <c r="Z167">
        <f>IF(Source!BI75=3,J163+J164+J165-0, 0)</f>
        <v>0</v>
      </c>
      <c r="AA167">
        <f>IF(Source!BI75=4,J163+J164+J165,0)</f>
        <v>930.05</v>
      </c>
    </row>
    <row r="168" spans="1:27" ht="42.75" x14ac:dyDescent="0.2">
      <c r="A168" s="23">
        <v>14</v>
      </c>
      <c r="B168" s="23" t="str">
        <f>Source!E76</f>
        <v>14</v>
      </c>
      <c r="C168" s="24" t="str">
        <f>Source!F76</f>
        <v>5.1-152-1</v>
      </c>
      <c r="D168" s="24" t="s">
        <v>155</v>
      </c>
      <c r="E168" s="25" t="str">
        <f>Source!H76</f>
        <v>точка</v>
      </c>
      <c r="F168" s="10">
        <f>Source!I76</f>
        <v>20</v>
      </c>
      <c r="G168" s="27"/>
      <c r="H168" s="26"/>
      <c r="I168" s="10"/>
      <c r="J168" s="28"/>
      <c r="K168" s="10"/>
      <c r="L168" s="28"/>
      <c r="Q168">
        <f>ROUND((Source!DN76/100)*ROUND((ROUND((Source!AF76*Source!AV76*Source!I76),2)),2), 2)</f>
        <v>36.979999999999997</v>
      </c>
      <c r="R168">
        <f>Source!X76</f>
        <v>832.07</v>
      </c>
      <c r="S168">
        <f>ROUND((Source!DO76/100)*ROUND((ROUND((Source!AF76*Source!AV76*Source!I76),2)),2), 2)</f>
        <v>34.51</v>
      </c>
      <c r="T168">
        <f>Source!Y76</f>
        <v>501.69</v>
      </c>
      <c r="U168">
        <f>ROUND((175/100)*ROUND((ROUND((Source!AE76*Source!AV76*Source!I76),2)),2), 2)</f>
        <v>0</v>
      </c>
      <c r="V168">
        <f>ROUND((157/100)*ROUND(ROUND((ROUND((Source!AE76*Source!AV76*Source!I76),2)*Source!BS76),2), 2), 2)</f>
        <v>0</v>
      </c>
    </row>
    <row r="169" spans="1:27" ht="28.5" x14ac:dyDescent="0.2">
      <c r="A169" s="23"/>
      <c r="B169" s="23"/>
      <c r="C169" s="24"/>
      <c r="D169" s="24" t="s">
        <v>252</v>
      </c>
      <c r="E169" s="25"/>
      <c r="F169" s="10"/>
      <c r="G169" s="27">
        <f>Source!AO76</f>
        <v>2.37</v>
      </c>
      <c r="H169" s="26" t="str">
        <f>Source!DG76</f>
        <v>)*1,3)*0,8</v>
      </c>
      <c r="I169" s="10">
        <f>Source!AV76</f>
        <v>1</v>
      </c>
      <c r="J169" s="28">
        <f>ROUND((ROUND((Source!AF76*Source!AV76*Source!I76),2)),2)</f>
        <v>49.3</v>
      </c>
      <c r="K169" s="10">
        <f>IF(Source!BA76&lt;&gt; 0, Source!BA76, 1)</f>
        <v>24.82</v>
      </c>
      <c r="L169" s="28">
        <f>Source!S76</f>
        <v>1223.6300000000001</v>
      </c>
      <c r="W169">
        <f>J169</f>
        <v>49.3</v>
      </c>
    </row>
    <row r="170" spans="1:27" ht="14.25" x14ac:dyDescent="0.2">
      <c r="A170" s="23"/>
      <c r="B170" s="23"/>
      <c r="C170" s="24"/>
      <c r="D170" s="24" t="s">
        <v>256</v>
      </c>
      <c r="E170" s="25" t="s">
        <v>257</v>
      </c>
      <c r="F170" s="10">
        <f>Source!DN76</f>
        <v>75</v>
      </c>
      <c r="G170" s="27"/>
      <c r="H170" s="26"/>
      <c r="I170" s="10"/>
      <c r="J170" s="28">
        <f>SUM(Q168:Q169)</f>
        <v>36.979999999999997</v>
      </c>
      <c r="K170" s="10">
        <f>Source!BZ76</f>
        <v>68</v>
      </c>
      <c r="L170" s="28">
        <f>SUM(R168:R169)</f>
        <v>832.07</v>
      </c>
    </row>
    <row r="171" spans="1:27" ht="14.25" x14ac:dyDescent="0.2">
      <c r="A171" s="23"/>
      <c r="B171" s="23"/>
      <c r="C171" s="24"/>
      <c r="D171" s="24" t="s">
        <v>258</v>
      </c>
      <c r="E171" s="25" t="s">
        <v>257</v>
      </c>
      <c r="F171" s="10">
        <f>Source!DO76</f>
        <v>70</v>
      </c>
      <c r="G171" s="27"/>
      <c r="H171" s="26"/>
      <c r="I171" s="10"/>
      <c r="J171" s="28">
        <f>SUM(S168:S170)</f>
        <v>34.51</v>
      </c>
      <c r="K171" s="10">
        <f>Source!CA76</f>
        <v>41</v>
      </c>
      <c r="L171" s="28">
        <f>SUM(T168:T170)</f>
        <v>501.69</v>
      </c>
    </row>
    <row r="172" spans="1:27" ht="28.5" x14ac:dyDescent="0.2">
      <c r="A172" s="23"/>
      <c r="B172" s="23"/>
      <c r="C172" s="24"/>
      <c r="D172" s="24" t="s">
        <v>260</v>
      </c>
      <c r="E172" s="25" t="s">
        <v>261</v>
      </c>
      <c r="F172" s="10">
        <f>Source!AQ76</f>
        <v>0.15</v>
      </c>
      <c r="G172" s="27"/>
      <c r="H172" s="26" t="str">
        <f>Source!DI76</f>
        <v>)*1,3)*0,8</v>
      </c>
      <c r="I172" s="10">
        <f>Source!AV76</f>
        <v>1</v>
      </c>
      <c r="J172" s="28">
        <f>Source!U76</f>
        <v>3.1200000000000006</v>
      </c>
      <c r="K172" s="10"/>
      <c r="L172" s="28"/>
    </row>
    <row r="173" spans="1:27" ht="15" x14ac:dyDescent="0.25">
      <c r="A173" s="31"/>
      <c r="B173" s="31"/>
      <c r="C173" s="31"/>
      <c r="D173" s="31"/>
      <c r="E173" s="31"/>
      <c r="F173" s="31"/>
      <c r="G173" s="31"/>
      <c r="H173" s="31"/>
      <c r="I173" s="56">
        <f>J169+J170+J171</f>
        <v>120.78999999999999</v>
      </c>
      <c r="J173" s="56"/>
      <c r="K173" s="56">
        <f>L169+L170+L171</f>
        <v>2557.3900000000003</v>
      </c>
      <c r="L173" s="56"/>
      <c r="O173" s="30">
        <f>J169+J170+J171</f>
        <v>120.78999999999999</v>
      </c>
      <c r="P173" s="30">
        <f>L169+L170+L171</f>
        <v>2557.3900000000003</v>
      </c>
      <c r="X173">
        <f>IF(Source!BI76&lt;=1,J169+J170+J171-0, 0)</f>
        <v>0</v>
      </c>
      <c r="Y173">
        <f>IF(Source!BI76=2,J169+J170+J171-0, 0)</f>
        <v>0</v>
      </c>
      <c r="Z173">
        <f>IF(Source!BI76=3,J169+J170+J171-0, 0)</f>
        <v>0</v>
      </c>
      <c r="AA173">
        <f>IF(Source!BI76=4,J169+J170+J171,0)</f>
        <v>120.78999999999999</v>
      </c>
    </row>
    <row r="174" spans="1:27" ht="28.5" x14ac:dyDescent="0.2">
      <c r="A174" s="23">
        <v>15</v>
      </c>
      <c r="B174" s="23" t="str">
        <f>Source!E77</f>
        <v>15</v>
      </c>
      <c r="C174" s="24" t="str">
        <f>Source!F77</f>
        <v>5.1-154-1</v>
      </c>
      <c r="D174" s="24" t="s">
        <v>160</v>
      </c>
      <c r="E174" s="25" t="str">
        <f>Source!H77</f>
        <v>токоприемник</v>
      </c>
      <c r="F174" s="10">
        <f>Source!I77</f>
        <v>8</v>
      </c>
      <c r="G174" s="27"/>
      <c r="H174" s="26"/>
      <c r="I174" s="10"/>
      <c r="J174" s="28"/>
      <c r="K174" s="10"/>
      <c r="L174" s="28"/>
      <c r="Q174">
        <f>ROUND((Source!DN77/100)*ROUND((ROUND((Source!AF77*Source!AV77*Source!I77),2)),2), 2)</f>
        <v>98.78</v>
      </c>
      <c r="R174">
        <f>Source!X77</f>
        <v>2222.9499999999998</v>
      </c>
      <c r="S174">
        <f>ROUND((Source!DO77/100)*ROUND((ROUND((Source!AF77*Source!AV77*Source!I77),2)),2), 2)</f>
        <v>92.2</v>
      </c>
      <c r="T174">
        <f>Source!Y77</f>
        <v>1340.31</v>
      </c>
      <c r="U174">
        <f>ROUND((175/100)*ROUND((ROUND((Source!AE77*Source!AV77*Source!I77),2)),2), 2)</f>
        <v>0</v>
      </c>
      <c r="V174">
        <f>ROUND((157/100)*ROUND(ROUND((ROUND((Source!AE77*Source!AV77*Source!I77),2)*Source!BS77),2), 2), 2)</f>
        <v>0</v>
      </c>
    </row>
    <row r="175" spans="1:27" ht="28.5" x14ac:dyDescent="0.2">
      <c r="A175" s="23"/>
      <c r="B175" s="23"/>
      <c r="C175" s="24"/>
      <c r="D175" s="24" t="s">
        <v>252</v>
      </c>
      <c r="E175" s="25"/>
      <c r="F175" s="10"/>
      <c r="G175" s="27">
        <f>Source!AO77</f>
        <v>15.83</v>
      </c>
      <c r="H175" s="26" t="str">
        <f>Source!DG77</f>
        <v>)*1,3)*0,8</v>
      </c>
      <c r="I175" s="10">
        <f>Source!AV77</f>
        <v>1</v>
      </c>
      <c r="J175" s="28">
        <f>ROUND((ROUND((Source!AF77*Source!AV77*Source!I77),2)),2)</f>
        <v>131.71</v>
      </c>
      <c r="K175" s="10">
        <f>IF(Source!BA77&lt;&gt; 0, Source!BA77, 1)</f>
        <v>24.82</v>
      </c>
      <c r="L175" s="28">
        <f>Source!S77</f>
        <v>3269.04</v>
      </c>
      <c r="W175">
        <f>J175</f>
        <v>131.71</v>
      </c>
    </row>
    <row r="176" spans="1:27" ht="14.25" x14ac:dyDescent="0.2">
      <c r="A176" s="23"/>
      <c r="B176" s="23"/>
      <c r="C176" s="24"/>
      <c r="D176" s="24" t="s">
        <v>256</v>
      </c>
      <c r="E176" s="25" t="s">
        <v>257</v>
      </c>
      <c r="F176" s="10">
        <f>Source!DN77</f>
        <v>75</v>
      </c>
      <c r="G176" s="27"/>
      <c r="H176" s="26"/>
      <c r="I176" s="10"/>
      <c r="J176" s="28">
        <f>SUM(Q174:Q175)</f>
        <v>98.78</v>
      </c>
      <c r="K176" s="10">
        <f>Source!BZ77</f>
        <v>68</v>
      </c>
      <c r="L176" s="28">
        <f>SUM(R174:R175)</f>
        <v>2222.9499999999998</v>
      </c>
    </row>
    <row r="177" spans="1:27" ht="14.25" x14ac:dyDescent="0.2">
      <c r="A177" s="23"/>
      <c r="B177" s="23"/>
      <c r="C177" s="24"/>
      <c r="D177" s="24" t="s">
        <v>258</v>
      </c>
      <c r="E177" s="25" t="s">
        <v>257</v>
      </c>
      <c r="F177" s="10">
        <f>Source!DO77</f>
        <v>70</v>
      </c>
      <c r="G177" s="27"/>
      <c r="H177" s="26"/>
      <c r="I177" s="10"/>
      <c r="J177" s="28">
        <f>SUM(S174:S176)</f>
        <v>92.2</v>
      </c>
      <c r="K177" s="10">
        <f>Source!CA77</f>
        <v>41</v>
      </c>
      <c r="L177" s="28">
        <f>SUM(T174:T176)</f>
        <v>1340.31</v>
      </c>
    </row>
    <row r="178" spans="1:27" ht="28.5" x14ac:dyDescent="0.2">
      <c r="A178" s="23"/>
      <c r="B178" s="23"/>
      <c r="C178" s="24"/>
      <c r="D178" s="24" t="s">
        <v>260</v>
      </c>
      <c r="E178" s="25" t="s">
        <v>261</v>
      </c>
      <c r="F178" s="10">
        <f>Source!AQ77</f>
        <v>1</v>
      </c>
      <c r="G178" s="27"/>
      <c r="H178" s="26" t="str">
        <f>Source!DI77</f>
        <v>)*1,3)*0,8</v>
      </c>
      <c r="I178" s="10">
        <f>Source!AV77</f>
        <v>1</v>
      </c>
      <c r="J178" s="28">
        <f>Source!U77</f>
        <v>8.32</v>
      </c>
      <c r="K178" s="10"/>
      <c r="L178" s="28"/>
    </row>
    <row r="179" spans="1:27" ht="15" x14ac:dyDescent="0.25">
      <c r="A179" s="31"/>
      <c r="B179" s="31"/>
      <c r="C179" s="31"/>
      <c r="D179" s="31"/>
      <c r="E179" s="31"/>
      <c r="F179" s="31"/>
      <c r="G179" s="31"/>
      <c r="H179" s="31"/>
      <c r="I179" s="56">
        <f>J175+J176+J177</f>
        <v>322.69</v>
      </c>
      <c r="J179" s="56"/>
      <c r="K179" s="56">
        <f>L175+L176+L177</f>
        <v>6832.2999999999993</v>
      </c>
      <c r="L179" s="56"/>
      <c r="O179" s="30">
        <f>J175+J176+J177</f>
        <v>322.69</v>
      </c>
      <c r="P179" s="30">
        <f>L175+L176+L177</f>
        <v>6832.2999999999993</v>
      </c>
      <c r="X179">
        <f>IF(Source!BI77&lt;=1,J175+J176+J177-0, 0)</f>
        <v>0</v>
      </c>
      <c r="Y179">
        <f>IF(Source!BI77=2,J175+J176+J177-0, 0)</f>
        <v>0</v>
      </c>
      <c r="Z179">
        <f>IF(Source!BI77=3,J175+J176+J177-0, 0)</f>
        <v>0</v>
      </c>
      <c r="AA179">
        <f>IF(Source!BI77=4,J175+J176+J177,0)</f>
        <v>322.69</v>
      </c>
    </row>
    <row r="180" spans="1:27" ht="42.75" x14ac:dyDescent="0.2">
      <c r="A180" s="23">
        <v>16</v>
      </c>
      <c r="B180" s="23" t="str">
        <f>Source!E78</f>
        <v>16</v>
      </c>
      <c r="C180" s="24" t="str">
        <f>Source!F78</f>
        <v>5.1-158-1</v>
      </c>
      <c r="D180" s="24" t="s">
        <v>165</v>
      </c>
      <c r="E180" s="25" t="str">
        <f>Source!H78</f>
        <v>фазировка</v>
      </c>
      <c r="F180" s="10">
        <f>Source!I78</f>
        <v>6</v>
      </c>
      <c r="G180" s="27"/>
      <c r="H180" s="26"/>
      <c r="I180" s="10"/>
      <c r="J180" s="28"/>
      <c r="K180" s="10"/>
      <c r="L180" s="28"/>
      <c r="Q180">
        <f>ROUND((Source!DN78/100)*ROUND((ROUND((Source!AF78*Source!AV78*Source!I78),2)),2), 2)</f>
        <v>66.650000000000006</v>
      </c>
      <c r="R180">
        <f>Source!X78</f>
        <v>1499.75</v>
      </c>
      <c r="S180">
        <f>ROUND((Source!DO78/100)*ROUND((ROUND((Source!AF78*Source!AV78*Source!I78),2)),2), 2)</f>
        <v>62.2</v>
      </c>
      <c r="T180">
        <f>Source!Y78</f>
        <v>904.26</v>
      </c>
      <c r="U180">
        <f>ROUND((175/100)*ROUND((ROUND((Source!AE78*Source!AV78*Source!I78),2)),2), 2)</f>
        <v>0</v>
      </c>
      <c r="V180">
        <f>ROUND((157/100)*ROUND(ROUND((ROUND((Source!AE78*Source!AV78*Source!I78),2)*Source!BS78),2), 2), 2)</f>
        <v>0</v>
      </c>
    </row>
    <row r="181" spans="1:27" ht="28.5" x14ac:dyDescent="0.2">
      <c r="A181" s="23"/>
      <c r="B181" s="23"/>
      <c r="C181" s="24"/>
      <c r="D181" s="24" t="s">
        <v>252</v>
      </c>
      <c r="E181" s="25"/>
      <c r="F181" s="10"/>
      <c r="G181" s="27">
        <f>Source!AO78</f>
        <v>14.24</v>
      </c>
      <c r="H181" s="26" t="str">
        <f>Source!DG78</f>
        <v>)*1,3)*0,8</v>
      </c>
      <c r="I181" s="10">
        <f>Source!AV78</f>
        <v>1</v>
      </c>
      <c r="J181" s="28">
        <f>ROUND((ROUND((Source!AF78*Source!AV78*Source!I78),2)),2)</f>
        <v>88.86</v>
      </c>
      <c r="K181" s="10">
        <f>IF(Source!BA78&lt;&gt; 0, Source!BA78, 1)</f>
        <v>24.82</v>
      </c>
      <c r="L181" s="28">
        <f>Source!S78</f>
        <v>2205.5100000000002</v>
      </c>
      <c r="W181">
        <f>J181</f>
        <v>88.86</v>
      </c>
    </row>
    <row r="182" spans="1:27" ht="14.25" x14ac:dyDescent="0.2">
      <c r="A182" s="23"/>
      <c r="B182" s="23"/>
      <c r="C182" s="24"/>
      <c r="D182" s="24" t="s">
        <v>256</v>
      </c>
      <c r="E182" s="25" t="s">
        <v>257</v>
      </c>
      <c r="F182" s="10">
        <f>Source!DN78</f>
        <v>75</v>
      </c>
      <c r="G182" s="27"/>
      <c r="H182" s="26"/>
      <c r="I182" s="10"/>
      <c r="J182" s="28">
        <f>SUM(Q180:Q181)</f>
        <v>66.650000000000006</v>
      </c>
      <c r="K182" s="10">
        <f>Source!BZ78</f>
        <v>68</v>
      </c>
      <c r="L182" s="28">
        <f>SUM(R180:R181)</f>
        <v>1499.75</v>
      </c>
    </row>
    <row r="183" spans="1:27" ht="14.25" x14ac:dyDescent="0.2">
      <c r="A183" s="23"/>
      <c r="B183" s="23"/>
      <c r="C183" s="24"/>
      <c r="D183" s="24" t="s">
        <v>258</v>
      </c>
      <c r="E183" s="25" t="s">
        <v>257</v>
      </c>
      <c r="F183" s="10">
        <f>Source!DO78</f>
        <v>70</v>
      </c>
      <c r="G183" s="27"/>
      <c r="H183" s="26"/>
      <c r="I183" s="10"/>
      <c r="J183" s="28">
        <f>SUM(S180:S182)</f>
        <v>62.2</v>
      </c>
      <c r="K183" s="10">
        <f>Source!CA78</f>
        <v>41</v>
      </c>
      <c r="L183" s="28">
        <f>SUM(T180:T182)</f>
        <v>904.26</v>
      </c>
    </row>
    <row r="184" spans="1:27" ht="28.5" x14ac:dyDescent="0.2">
      <c r="A184" s="23"/>
      <c r="B184" s="23"/>
      <c r="C184" s="24"/>
      <c r="D184" s="24" t="s">
        <v>260</v>
      </c>
      <c r="E184" s="25" t="s">
        <v>261</v>
      </c>
      <c r="F184" s="10">
        <f>Source!AQ78</f>
        <v>0.9</v>
      </c>
      <c r="G184" s="27"/>
      <c r="H184" s="26" t="str">
        <f>Source!DI78</f>
        <v>)*1,3)*0,8</v>
      </c>
      <c r="I184" s="10">
        <f>Source!AV78</f>
        <v>1</v>
      </c>
      <c r="J184" s="28">
        <f>Source!U78</f>
        <v>5.6160000000000014</v>
      </c>
      <c r="K184" s="10"/>
      <c r="L184" s="28"/>
    </row>
    <row r="185" spans="1:27" ht="15" x14ac:dyDescent="0.25">
      <c r="A185" s="31"/>
      <c r="B185" s="31"/>
      <c r="C185" s="31"/>
      <c r="D185" s="31"/>
      <c r="E185" s="31"/>
      <c r="F185" s="31"/>
      <c r="G185" s="31"/>
      <c r="H185" s="31"/>
      <c r="I185" s="56">
        <f>J181+J182+J183</f>
        <v>217.70999999999998</v>
      </c>
      <c r="J185" s="56"/>
      <c r="K185" s="56">
        <f>L181+L182+L183</f>
        <v>4609.5200000000004</v>
      </c>
      <c r="L185" s="56"/>
      <c r="O185" s="30">
        <f>J181+J182+J183</f>
        <v>217.70999999999998</v>
      </c>
      <c r="P185" s="30">
        <f>L181+L182+L183</f>
        <v>4609.5200000000004</v>
      </c>
      <c r="X185">
        <f>IF(Source!BI78&lt;=1,J181+J182+J183-0, 0)</f>
        <v>0</v>
      </c>
      <c r="Y185">
        <f>IF(Source!BI78=2,J181+J182+J183-0, 0)</f>
        <v>0</v>
      </c>
      <c r="Z185">
        <f>IF(Source!BI78=3,J181+J182+J183-0, 0)</f>
        <v>0</v>
      </c>
      <c r="AA185">
        <f>IF(Source!BI78=4,J181+J182+J183,0)</f>
        <v>217.70999999999998</v>
      </c>
    </row>
    <row r="186" spans="1:27" ht="128.25" x14ac:dyDescent="0.2">
      <c r="A186" s="23">
        <v>17</v>
      </c>
      <c r="B186" s="23" t="str">
        <f>Source!E79</f>
        <v>17</v>
      </c>
      <c r="C186" s="24" t="str">
        <f>Source!F79</f>
        <v>5.1-162-1</v>
      </c>
      <c r="D186" s="24" t="s">
        <v>170</v>
      </c>
      <c r="E186" s="25" t="str">
        <f>Source!H79</f>
        <v>измерение</v>
      </c>
      <c r="F186" s="10">
        <f>Source!I79</f>
        <v>42</v>
      </c>
      <c r="G186" s="27"/>
      <c r="H186" s="26"/>
      <c r="I186" s="10"/>
      <c r="J186" s="28"/>
      <c r="K186" s="10"/>
      <c r="L186" s="28"/>
      <c r="Q186">
        <f>ROUND((Source!DN79/100)*ROUND((ROUND((Source!AF79*Source!AV79*Source!I79),2)),2), 2)</f>
        <v>186.74</v>
      </c>
      <c r="R186">
        <f>Source!X79</f>
        <v>4202.18</v>
      </c>
      <c r="S186">
        <f>ROUND((Source!DO79/100)*ROUND((ROUND((Source!AF79*Source!AV79*Source!I79),2)),2), 2)</f>
        <v>174.29</v>
      </c>
      <c r="T186">
        <f>Source!Y79</f>
        <v>2533.67</v>
      </c>
      <c r="U186">
        <f>ROUND((175/100)*ROUND((ROUND((Source!AE79*Source!AV79*Source!I79),2)),2), 2)</f>
        <v>0</v>
      </c>
      <c r="V186">
        <f>ROUND((157/100)*ROUND(ROUND((ROUND((Source!AE79*Source!AV79*Source!I79),2)*Source!BS79),2), 2), 2)</f>
        <v>0</v>
      </c>
    </row>
    <row r="187" spans="1:27" ht="28.5" x14ac:dyDescent="0.2">
      <c r="A187" s="23"/>
      <c r="B187" s="23"/>
      <c r="C187" s="24"/>
      <c r="D187" s="24" t="s">
        <v>252</v>
      </c>
      <c r="E187" s="25"/>
      <c r="F187" s="10"/>
      <c r="G187" s="27">
        <f>Source!AO79</f>
        <v>5.7</v>
      </c>
      <c r="H187" s="26" t="str">
        <f>Source!DG79</f>
        <v>)*1,3)*0,8</v>
      </c>
      <c r="I187" s="10">
        <f>Source!AV79</f>
        <v>1</v>
      </c>
      <c r="J187" s="28">
        <f>ROUND((ROUND((Source!AF79*Source!AV79*Source!I79),2)),2)</f>
        <v>248.98</v>
      </c>
      <c r="K187" s="10">
        <f>IF(Source!BA79&lt;&gt; 0, Source!BA79, 1)</f>
        <v>24.82</v>
      </c>
      <c r="L187" s="28">
        <f>Source!S79</f>
        <v>6179.68</v>
      </c>
      <c r="W187">
        <f>J187</f>
        <v>248.98</v>
      </c>
    </row>
    <row r="188" spans="1:27" ht="14.25" x14ac:dyDescent="0.2">
      <c r="A188" s="23"/>
      <c r="B188" s="23"/>
      <c r="C188" s="24"/>
      <c r="D188" s="24" t="s">
        <v>256</v>
      </c>
      <c r="E188" s="25" t="s">
        <v>257</v>
      </c>
      <c r="F188" s="10">
        <f>Source!DN79</f>
        <v>75</v>
      </c>
      <c r="G188" s="27"/>
      <c r="H188" s="26"/>
      <c r="I188" s="10"/>
      <c r="J188" s="28">
        <f>SUM(Q186:Q187)</f>
        <v>186.74</v>
      </c>
      <c r="K188" s="10">
        <f>Source!BZ79</f>
        <v>68</v>
      </c>
      <c r="L188" s="28">
        <f>SUM(R186:R187)</f>
        <v>4202.18</v>
      </c>
    </row>
    <row r="189" spans="1:27" ht="14.25" x14ac:dyDescent="0.2">
      <c r="A189" s="23"/>
      <c r="B189" s="23"/>
      <c r="C189" s="24"/>
      <c r="D189" s="24" t="s">
        <v>258</v>
      </c>
      <c r="E189" s="25" t="s">
        <v>257</v>
      </c>
      <c r="F189" s="10">
        <f>Source!DO79</f>
        <v>70</v>
      </c>
      <c r="G189" s="27"/>
      <c r="H189" s="26"/>
      <c r="I189" s="10"/>
      <c r="J189" s="28">
        <f>SUM(S186:S188)</f>
        <v>174.29</v>
      </c>
      <c r="K189" s="10">
        <f>Source!CA79</f>
        <v>41</v>
      </c>
      <c r="L189" s="28">
        <f>SUM(T186:T188)</f>
        <v>2533.67</v>
      </c>
    </row>
    <row r="190" spans="1:27" ht="28.5" x14ac:dyDescent="0.2">
      <c r="A190" s="23"/>
      <c r="B190" s="23"/>
      <c r="C190" s="24"/>
      <c r="D190" s="24" t="s">
        <v>260</v>
      </c>
      <c r="E190" s="25" t="s">
        <v>261</v>
      </c>
      <c r="F190" s="10">
        <f>Source!AQ79</f>
        <v>0.36</v>
      </c>
      <c r="G190" s="27"/>
      <c r="H190" s="26" t="str">
        <f>Source!DI79</f>
        <v>)*1,3)*0,8</v>
      </c>
      <c r="I190" s="10">
        <f>Source!AV79</f>
        <v>1</v>
      </c>
      <c r="J190" s="28">
        <f>Source!U79</f>
        <v>15.7248</v>
      </c>
      <c r="K190" s="10"/>
      <c r="L190" s="28"/>
    </row>
    <row r="191" spans="1:27" ht="15" x14ac:dyDescent="0.25">
      <c r="A191" s="31"/>
      <c r="B191" s="31"/>
      <c r="C191" s="31"/>
      <c r="D191" s="31"/>
      <c r="E191" s="31"/>
      <c r="F191" s="31"/>
      <c r="G191" s="31"/>
      <c r="H191" s="31"/>
      <c r="I191" s="56">
        <f>J187+J188+J189</f>
        <v>610.01</v>
      </c>
      <c r="J191" s="56"/>
      <c r="K191" s="56">
        <f>L187+L188+L189</f>
        <v>12915.53</v>
      </c>
      <c r="L191" s="56"/>
      <c r="O191" s="30">
        <f>J187+J188+J189</f>
        <v>610.01</v>
      </c>
      <c r="P191" s="30">
        <f>L187+L188+L189</f>
        <v>12915.53</v>
      </c>
      <c r="X191">
        <f>IF(Source!BI79&lt;=1,J187+J188+J189-0, 0)</f>
        <v>0</v>
      </c>
      <c r="Y191">
        <f>IF(Source!BI79=2,J187+J188+J189-0, 0)</f>
        <v>0</v>
      </c>
      <c r="Z191">
        <f>IF(Source!BI79=3,J187+J188+J189-0, 0)</f>
        <v>0</v>
      </c>
      <c r="AA191">
        <f>IF(Source!BI79=4,J187+J188+J189,0)</f>
        <v>610.01</v>
      </c>
    </row>
    <row r="192" spans="1:27" ht="42.75" x14ac:dyDescent="0.2">
      <c r="A192" s="23">
        <v>18</v>
      </c>
      <c r="B192" s="23" t="str">
        <f>Source!E80</f>
        <v>18</v>
      </c>
      <c r="C192" s="24" t="str">
        <f>Source!F80</f>
        <v>5.1-162-2</v>
      </c>
      <c r="D192" s="24" t="s">
        <v>175</v>
      </c>
      <c r="E192" s="25" t="str">
        <f>Source!H80</f>
        <v>измерение</v>
      </c>
      <c r="F192" s="10">
        <f>Source!I80</f>
        <v>12</v>
      </c>
      <c r="G192" s="27"/>
      <c r="H192" s="26"/>
      <c r="I192" s="10"/>
      <c r="J192" s="28"/>
      <c r="K192" s="10"/>
      <c r="L192" s="28"/>
      <c r="Q192">
        <f>ROUND((Source!DN80/100)*ROUND((ROUND((Source!AF80*Source!AV80*Source!I80),2)),2), 2)</f>
        <v>14.79</v>
      </c>
      <c r="R192">
        <f>Source!X80</f>
        <v>332.83</v>
      </c>
      <c r="S192">
        <f>ROUND((Source!DO80/100)*ROUND((ROUND((Source!AF80*Source!AV80*Source!I80),2)),2), 2)</f>
        <v>13.8</v>
      </c>
      <c r="T192">
        <f>Source!Y80</f>
        <v>200.67</v>
      </c>
      <c r="U192">
        <f>ROUND((175/100)*ROUND((ROUND((Source!AE80*Source!AV80*Source!I80),2)),2), 2)</f>
        <v>0</v>
      </c>
      <c r="V192">
        <f>ROUND((157/100)*ROUND(ROUND((ROUND((Source!AE80*Source!AV80*Source!I80),2)*Source!BS80),2), 2), 2)</f>
        <v>0</v>
      </c>
    </row>
    <row r="193" spans="1:27" ht="28.5" x14ac:dyDescent="0.2">
      <c r="A193" s="23"/>
      <c r="B193" s="23"/>
      <c r="C193" s="24"/>
      <c r="D193" s="24" t="s">
        <v>252</v>
      </c>
      <c r="E193" s="25"/>
      <c r="F193" s="10"/>
      <c r="G193" s="27">
        <f>Source!AO80</f>
        <v>1.58</v>
      </c>
      <c r="H193" s="26" t="str">
        <f>Source!DG80</f>
        <v>)*1,3)*0,8</v>
      </c>
      <c r="I193" s="10">
        <f>Source!AV80</f>
        <v>1</v>
      </c>
      <c r="J193" s="28">
        <f>ROUND((ROUND((Source!AF80*Source!AV80*Source!I80),2)),2)</f>
        <v>19.72</v>
      </c>
      <c r="K193" s="10">
        <f>IF(Source!BA80&lt;&gt; 0, Source!BA80, 1)</f>
        <v>24.82</v>
      </c>
      <c r="L193" s="28">
        <f>Source!S80</f>
        <v>489.45</v>
      </c>
      <c r="W193">
        <f>J193</f>
        <v>19.72</v>
      </c>
    </row>
    <row r="194" spans="1:27" ht="14.25" x14ac:dyDescent="0.2">
      <c r="A194" s="23"/>
      <c r="B194" s="23"/>
      <c r="C194" s="24"/>
      <c r="D194" s="24" t="s">
        <v>256</v>
      </c>
      <c r="E194" s="25" t="s">
        <v>257</v>
      </c>
      <c r="F194" s="10">
        <f>Source!DN80</f>
        <v>75</v>
      </c>
      <c r="G194" s="27"/>
      <c r="H194" s="26"/>
      <c r="I194" s="10"/>
      <c r="J194" s="28">
        <f>SUM(Q192:Q193)</f>
        <v>14.79</v>
      </c>
      <c r="K194" s="10">
        <f>Source!BZ80</f>
        <v>68</v>
      </c>
      <c r="L194" s="28">
        <f>SUM(R192:R193)</f>
        <v>332.83</v>
      </c>
    </row>
    <row r="195" spans="1:27" ht="14.25" x14ac:dyDescent="0.2">
      <c r="A195" s="23"/>
      <c r="B195" s="23"/>
      <c r="C195" s="24"/>
      <c r="D195" s="24" t="s">
        <v>258</v>
      </c>
      <c r="E195" s="25" t="s">
        <v>257</v>
      </c>
      <c r="F195" s="10">
        <f>Source!DO80</f>
        <v>70</v>
      </c>
      <c r="G195" s="27"/>
      <c r="H195" s="26"/>
      <c r="I195" s="10"/>
      <c r="J195" s="28">
        <f>SUM(S192:S194)</f>
        <v>13.8</v>
      </c>
      <c r="K195" s="10">
        <f>Source!CA80</f>
        <v>41</v>
      </c>
      <c r="L195" s="28">
        <f>SUM(T192:T194)</f>
        <v>200.67</v>
      </c>
    </row>
    <row r="196" spans="1:27" ht="28.5" x14ac:dyDescent="0.2">
      <c r="A196" s="23"/>
      <c r="B196" s="23"/>
      <c r="C196" s="24"/>
      <c r="D196" s="24" t="s">
        <v>260</v>
      </c>
      <c r="E196" s="25" t="s">
        <v>261</v>
      </c>
      <c r="F196" s="10">
        <f>Source!AQ80</f>
        <v>0.1</v>
      </c>
      <c r="G196" s="27"/>
      <c r="H196" s="26" t="str">
        <f>Source!DI80</f>
        <v>)*1,3)*0,8</v>
      </c>
      <c r="I196" s="10">
        <f>Source!AV80</f>
        <v>1</v>
      </c>
      <c r="J196" s="28">
        <f>Source!U80</f>
        <v>1.2480000000000002</v>
      </c>
      <c r="K196" s="10"/>
      <c r="L196" s="28"/>
    </row>
    <row r="197" spans="1:27" ht="15" x14ac:dyDescent="0.25">
      <c r="A197" s="31"/>
      <c r="B197" s="31"/>
      <c r="C197" s="31"/>
      <c r="D197" s="31"/>
      <c r="E197" s="31"/>
      <c r="F197" s="31"/>
      <c r="G197" s="31"/>
      <c r="H197" s="31"/>
      <c r="I197" s="56">
        <f>J193+J194+J195</f>
        <v>48.31</v>
      </c>
      <c r="J197" s="56"/>
      <c r="K197" s="56">
        <f>L193+L194+L195</f>
        <v>1022.9499999999999</v>
      </c>
      <c r="L197" s="56"/>
      <c r="O197" s="30">
        <f>J193+J194+J195</f>
        <v>48.31</v>
      </c>
      <c r="P197" s="30">
        <f>L193+L194+L195</f>
        <v>1022.9499999999999</v>
      </c>
      <c r="X197">
        <f>IF(Source!BI80&lt;=1,J193+J194+J195-0, 0)</f>
        <v>0</v>
      </c>
      <c r="Y197">
        <f>IF(Source!BI80=2,J193+J194+J195-0, 0)</f>
        <v>0</v>
      </c>
      <c r="Z197">
        <f>IF(Source!BI80=3,J193+J194+J195-0, 0)</f>
        <v>0</v>
      </c>
      <c r="AA197">
        <f>IF(Source!BI80=4,J193+J194+J195,0)</f>
        <v>48.31</v>
      </c>
    </row>
    <row r="198" spans="1:27" ht="57" x14ac:dyDescent="0.2">
      <c r="A198" s="23">
        <v>19</v>
      </c>
      <c r="B198" s="23" t="str">
        <f>Source!E81</f>
        <v>19</v>
      </c>
      <c r="C198" s="24" t="str">
        <f>Source!F81</f>
        <v>5.1-156-5</v>
      </c>
      <c r="D198" s="24" t="s">
        <v>179</v>
      </c>
      <c r="E198" s="25" t="str">
        <f>Source!H81</f>
        <v>измерение</v>
      </c>
      <c r="F198" s="10">
        <f>Source!I81</f>
        <v>9</v>
      </c>
      <c r="G198" s="27"/>
      <c r="H198" s="26"/>
      <c r="I198" s="10"/>
      <c r="J198" s="28"/>
      <c r="K198" s="10"/>
      <c r="L198" s="28"/>
      <c r="Q198">
        <f>ROUND((Source!DN81/100)*ROUND((ROUND((Source!AF81*Source!AV81*Source!I81),2)),2), 2)</f>
        <v>49.98</v>
      </c>
      <c r="R198">
        <f>Source!X81</f>
        <v>1124.72</v>
      </c>
      <c r="S198">
        <f>ROUND((Source!DO81/100)*ROUND((ROUND((Source!AF81*Source!AV81*Source!I81),2)),2), 2)</f>
        <v>46.65</v>
      </c>
      <c r="T198">
        <f>Source!Y81</f>
        <v>678.14</v>
      </c>
      <c r="U198">
        <f>ROUND((175/100)*ROUND((ROUND((Source!AE81*Source!AV81*Source!I81),2)),2), 2)</f>
        <v>0</v>
      </c>
      <c r="V198">
        <f>ROUND((157/100)*ROUND(ROUND((ROUND((Source!AE81*Source!AV81*Source!I81),2)*Source!BS81),2), 2), 2)</f>
        <v>0</v>
      </c>
    </row>
    <row r="199" spans="1:27" ht="28.5" x14ac:dyDescent="0.2">
      <c r="A199" s="23"/>
      <c r="B199" s="23"/>
      <c r="C199" s="24"/>
      <c r="D199" s="24" t="s">
        <v>252</v>
      </c>
      <c r="E199" s="25"/>
      <c r="F199" s="10"/>
      <c r="G199" s="27">
        <f>Source!AO81</f>
        <v>7.12</v>
      </c>
      <c r="H199" s="26" t="str">
        <f>Source!DG81</f>
        <v>)*1,3)*0,8</v>
      </c>
      <c r="I199" s="10">
        <f>Source!AV81</f>
        <v>1</v>
      </c>
      <c r="J199" s="28">
        <f>ROUND((ROUND((Source!AF81*Source!AV81*Source!I81),2)),2)</f>
        <v>66.64</v>
      </c>
      <c r="K199" s="10">
        <f>IF(Source!BA81&lt;&gt; 0, Source!BA81, 1)</f>
        <v>24.82</v>
      </c>
      <c r="L199" s="28">
        <f>Source!S81</f>
        <v>1654</v>
      </c>
      <c r="W199">
        <f>J199</f>
        <v>66.64</v>
      </c>
    </row>
    <row r="200" spans="1:27" ht="14.25" x14ac:dyDescent="0.2">
      <c r="A200" s="23"/>
      <c r="B200" s="23"/>
      <c r="C200" s="24"/>
      <c r="D200" s="24" t="s">
        <v>256</v>
      </c>
      <c r="E200" s="25" t="s">
        <v>257</v>
      </c>
      <c r="F200" s="10">
        <f>Source!DN81</f>
        <v>75</v>
      </c>
      <c r="G200" s="27"/>
      <c r="H200" s="26"/>
      <c r="I200" s="10"/>
      <c r="J200" s="28">
        <f>SUM(Q198:Q199)</f>
        <v>49.98</v>
      </c>
      <c r="K200" s="10">
        <f>Source!BZ81</f>
        <v>68</v>
      </c>
      <c r="L200" s="28">
        <f>SUM(R198:R199)</f>
        <v>1124.72</v>
      </c>
    </row>
    <row r="201" spans="1:27" ht="14.25" x14ac:dyDescent="0.2">
      <c r="A201" s="23"/>
      <c r="B201" s="23"/>
      <c r="C201" s="24"/>
      <c r="D201" s="24" t="s">
        <v>258</v>
      </c>
      <c r="E201" s="25" t="s">
        <v>257</v>
      </c>
      <c r="F201" s="10">
        <f>Source!DO81</f>
        <v>70</v>
      </c>
      <c r="G201" s="27"/>
      <c r="H201" s="26"/>
      <c r="I201" s="10"/>
      <c r="J201" s="28">
        <f>SUM(S198:S200)</f>
        <v>46.65</v>
      </c>
      <c r="K201" s="10">
        <f>Source!CA81</f>
        <v>41</v>
      </c>
      <c r="L201" s="28">
        <f>SUM(T198:T200)</f>
        <v>678.14</v>
      </c>
    </row>
    <row r="202" spans="1:27" ht="28.5" x14ac:dyDescent="0.2">
      <c r="A202" s="23"/>
      <c r="B202" s="23"/>
      <c r="C202" s="24"/>
      <c r="D202" s="24" t="s">
        <v>260</v>
      </c>
      <c r="E202" s="25" t="s">
        <v>261</v>
      </c>
      <c r="F202" s="10">
        <f>Source!AQ81</f>
        <v>0.45</v>
      </c>
      <c r="G202" s="27"/>
      <c r="H202" s="26" t="str">
        <f>Source!DI81</f>
        <v>)*1,3)*0,8</v>
      </c>
      <c r="I202" s="10">
        <f>Source!AV81</f>
        <v>1</v>
      </c>
      <c r="J202" s="28">
        <f>Source!U81</f>
        <v>4.2120000000000006</v>
      </c>
      <c r="K202" s="10"/>
      <c r="L202" s="28"/>
    </row>
    <row r="203" spans="1:27" ht="15" x14ac:dyDescent="0.25">
      <c r="A203" s="31"/>
      <c r="B203" s="31"/>
      <c r="C203" s="31"/>
      <c r="D203" s="31"/>
      <c r="E203" s="31"/>
      <c r="F203" s="31"/>
      <c r="G203" s="31"/>
      <c r="H203" s="31"/>
      <c r="I203" s="56">
        <f>J199+J200+J201</f>
        <v>163.27000000000001</v>
      </c>
      <c r="J203" s="56"/>
      <c r="K203" s="56">
        <f>L199+L200+L201</f>
        <v>3456.86</v>
      </c>
      <c r="L203" s="56"/>
      <c r="O203" s="30">
        <f>J199+J200+J201</f>
        <v>163.27000000000001</v>
      </c>
      <c r="P203" s="30">
        <f>L199+L200+L201</f>
        <v>3456.86</v>
      </c>
      <c r="X203">
        <f>IF(Source!BI81&lt;=1,J199+J200+J201-0, 0)</f>
        <v>0</v>
      </c>
      <c r="Y203">
        <f>IF(Source!BI81=2,J199+J200+J201-0, 0)</f>
        <v>0</v>
      </c>
      <c r="Z203">
        <f>IF(Source!BI81=3,J199+J200+J201-0, 0)</f>
        <v>0</v>
      </c>
      <c r="AA203">
        <f>IF(Source!BI81=4,J199+J200+J201,0)</f>
        <v>163.27000000000001</v>
      </c>
    </row>
    <row r="205" spans="1:27" ht="15" x14ac:dyDescent="0.25">
      <c r="A205" s="55" t="str">
        <f>CONCATENATE("Итого по разделу: ",IF(Source!G83&lt;&gt;"Новый раздел", Source!G83, ""))</f>
        <v>Итого по разделу: Пусконаладочные работы.</v>
      </c>
      <c r="B205" s="55"/>
      <c r="C205" s="55"/>
      <c r="D205" s="55"/>
      <c r="E205" s="55"/>
      <c r="F205" s="55"/>
      <c r="G205" s="55"/>
      <c r="H205" s="55"/>
      <c r="I205" s="53">
        <f>SUM(O149:O204)</f>
        <v>4098.6499999999996</v>
      </c>
      <c r="J205" s="54"/>
      <c r="K205" s="53">
        <f>SUM(P149:P204)</f>
        <v>84090.65</v>
      </c>
      <c r="L205" s="54"/>
    </row>
    <row r="206" spans="1:27" hidden="1" x14ac:dyDescent="0.2">
      <c r="A206" t="s">
        <v>262</v>
      </c>
      <c r="I206">
        <f>SUM(AC149:AC205)</f>
        <v>0</v>
      </c>
      <c r="K206">
        <f>SUM(AD149:AD205)</f>
        <v>0</v>
      </c>
    </row>
    <row r="207" spans="1:27" hidden="1" x14ac:dyDescent="0.2">
      <c r="A207" t="s">
        <v>263</v>
      </c>
      <c r="I207">
        <f>SUM(AE149:AE206)</f>
        <v>0</v>
      </c>
      <c r="K207">
        <f>SUM(AF149:AF206)</f>
        <v>0</v>
      </c>
    </row>
    <row r="209" spans="1:27" ht="16.5" x14ac:dyDescent="0.25">
      <c r="A209" s="57" t="str">
        <f>CONCATENATE("Раздел: ",IF(Source!G113&lt;&gt;"Новый раздел", Source!G113, ""))</f>
        <v>Раздел: Материалы, не учтенные ценником и оборудование.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</row>
    <row r="210" spans="1:27" ht="71.25" x14ac:dyDescent="0.2">
      <c r="A210" s="23">
        <v>20</v>
      </c>
      <c r="B210" s="23" t="str">
        <f>Source!E117</f>
        <v>20</v>
      </c>
      <c r="C210" s="24" t="str">
        <f>Source!F117</f>
        <v>1.23-1-4</v>
      </c>
      <c r="D210" s="24" t="s">
        <v>184</v>
      </c>
      <c r="E210" s="25" t="str">
        <f>Source!H117</f>
        <v>км</v>
      </c>
      <c r="F210" s="10">
        <f>Source!I117</f>
        <v>3.9E-2</v>
      </c>
      <c r="G210" s="27">
        <f>Source!AL117</f>
        <v>19941.89</v>
      </c>
      <c r="H210" s="26" t="str">
        <f>Source!DD117</f>
        <v/>
      </c>
      <c r="I210" s="10">
        <f>Source!AW117</f>
        <v>1</v>
      </c>
      <c r="J210" s="28">
        <f>ROUND((ROUND((Source!AC117*Source!AW117*Source!I117),2)),2)</f>
        <v>777.73</v>
      </c>
      <c r="K210" s="10">
        <f>IF(Source!BC117&lt;&gt; 0, Source!BC117, 1)</f>
        <v>8.0500000000000007</v>
      </c>
      <c r="L210" s="28">
        <f>Source!P117</f>
        <v>6260.73</v>
      </c>
      <c r="Q210">
        <f>ROUND((Source!DN117/100)*ROUND((ROUND((Source!AF117*Source!AV117*Source!I117),2)),2), 2)</f>
        <v>0</v>
      </c>
      <c r="R210">
        <f>Source!X117</f>
        <v>0</v>
      </c>
      <c r="S210">
        <f>ROUND((Source!DO117/100)*ROUND((ROUND((Source!AF117*Source!AV117*Source!I117),2)),2), 2)</f>
        <v>0</v>
      </c>
      <c r="T210">
        <f>Source!Y117</f>
        <v>0</v>
      </c>
      <c r="U210">
        <f>ROUND((175/100)*ROUND((ROUND((Source!AE117*Source!AV117*Source!I117),2)),2), 2)</f>
        <v>0</v>
      </c>
      <c r="V210">
        <f>ROUND((157/100)*ROUND(ROUND((ROUND((Source!AE117*Source!AV117*Source!I117),2)*Source!BS117),2), 2), 2)</f>
        <v>0</v>
      </c>
    </row>
    <row r="211" spans="1:27" x14ac:dyDescent="0.2">
      <c r="D211" s="32" t="str">
        <f>"Объем: "&amp;Source!I117&amp;"="&amp;Source!I31&amp;"/"&amp;"10"</f>
        <v>Объем: 0,039=0,39/10</v>
      </c>
    </row>
    <row r="212" spans="1:27" ht="15" x14ac:dyDescent="0.25">
      <c r="A212" s="31"/>
      <c r="B212" s="31"/>
      <c r="C212" s="31"/>
      <c r="D212" s="31"/>
      <c r="E212" s="31"/>
      <c r="F212" s="31"/>
      <c r="G212" s="31"/>
      <c r="H212" s="31"/>
      <c r="I212" s="56">
        <f>J210</f>
        <v>777.73</v>
      </c>
      <c r="J212" s="56"/>
      <c r="K212" s="56">
        <f>L210</f>
        <v>6260.73</v>
      </c>
      <c r="L212" s="56"/>
      <c r="O212" s="30">
        <f>J210</f>
        <v>777.73</v>
      </c>
      <c r="P212" s="30">
        <f>L210</f>
        <v>6260.73</v>
      </c>
      <c r="X212">
        <f>IF(Source!BI117&lt;=1,J210-0, 0)</f>
        <v>0</v>
      </c>
      <c r="Y212">
        <f>IF(Source!BI117=2,J210-0, 0)</f>
        <v>777.73</v>
      </c>
      <c r="Z212">
        <f>IF(Source!BI117=3,J210-0, 0)</f>
        <v>0</v>
      </c>
      <c r="AA212">
        <f>IF(Source!BI117=4,J210,0)</f>
        <v>0</v>
      </c>
    </row>
    <row r="213" spans="1:27" ht="114" x14ac:dyDescent="0.2">
      <c r="A213" s="23">
        <v>21</v>
      </c>
      <c r="B213" s="23" t="str">
        <f>Source!E118</f>
        <v>21</v>
      </c>
      <c r="C213" s="24" t="str">
        <f>Source!F118</f>
        <v>1.23-7-217</v>
      </c>
      <c r="D213" s="24" t="s">
        <v>192</v>
      </c>
      <c r="E213" s="25" t="str">
        <f>Source!H118</f>
        <v>км</v>
      </c>
      <c r="F213" s="10">
        <f>Source!I118</f>
        <v>2.7E-2</v>
      </c>
      <c r="G213" s="27">
        <f>Source!AL118</f>
        <v>99361.96</v>
      </c>
      <c r="H213" s="26" t="str">
        <f>Source!DD118</f>
        <v/>
      </c>
      <c r="I213" s="10">
        <f>Source!AW118</f>
        <v>1</v>
      </c>
      <c r="J213" s="28">
        <f>ROUND((ROUND((Source!AC118*Source!AW118*Source!I118),2)),2)</f>
        <v>2682.77</v>
      </c>
      <c r="K213" s="10">
        <f>IF(Source!BC118&lt;&gt; 0, Source!BC118, 1)</f>
        <v>3.43</v>
      </c>
      <c r="L213" s="28">
        <f>Source!P118</f>
        <v>9201.9</v>
      </c>
      <c r="Q213">
        <f>ROUND((Source!DN118/100)*ROUND((ROUND((Source!AF118*Source!AV118*Source!I118),2)),2), 2)</f>
        <v>0</v>
      </c>
      <c r="R213">
        <f>Source!X118</f>
        <v>0</v>
      </c>
      <c r="S213">
        <f>ROUND((Source!DO118/100)*ROUND((ROUND((Source!AF118*Source!AV118*Source!I118),2)),2), 2)</f>
        <v>0</v>
      </c>
      <c r="T213">
        <f>Source!Y118</f>
        <v>0</v>
      </c>
      <c r="U213">
        <f>ROUND((175/100)*ROUND((ROUND((Source!AE118*Source!AV118*Source!I118),2)),2), 2)</f>
        <v>0</v>
      </c>
      <c r="V213">
        <f>ROUND((157/100)*ROUND(ROUND((ROUND((Source!AE118*Source!AV118*Source!I118),2)*Source!BS118),2), 2), 2)</f>
        <v>0</v>
      </c>
    </row>
    <row r="214" spans="1:27" x14ac:dyDescent="0.2">
      <c r="D214" s="32" t="str">
        <f>"Объем: "&amp;Source!I118&amp;"="&amp;Source!I32&amp;"/"&amp;"10"</f>
        <v>Объем: 0,027=0,27/10</v>
      </c>
    </row>
    <row r="215" spans="1:27" ht="15" x14ac:dyDescent="0.25">
      <c r="A215" s="31"/>
      <c r="B215" s="31"/>
      <c r="C215" s="31"/>
      <c r="D215" s="31"/>
      <c r="E215" s="31"/>
      <c r="F215" s="31"/>
      <c r="G215" s="31"/>
      <c r="H215" s="31"/>
      <c r="I215" s="56">
        <f>J213</f>
        <v>2682.77</v>
      </c>
      <c r="J215" s="56"/>
      <c r="K215" s="56">
        <f>L213</f>
        <v>9201.9</v>
      </c>
      <c r="L215" s="56"/>
      <c r="O215" s="30">
        <f>J213</f>
        <v>2682.77</v>
      </c>
      <c r="P215" s="30">
        <f>L213</f>
        <v>9201.9</v>
      </c>
      <c r="X215">
        <f>IF(Source!BI118&lt;=1,J213-0, 0)</f>
        <v>0</v>
      </c>
      <c r="Y215">
        <f>IF(Source!BI118=2,J213-0, 0)</f>
        <v>2682.77</v>
      </c>
      <c r="Z215">
        <f>IF(Source!BI118=3,J213-0, 0)</f>
        <v>0</v>
      </c>
      <c r="AA215">
        <f>IF(Source!BI118=4,J213,0)</f>
        <v>0</v>
      </c>
    </row>
    <row r="216" spans="1:27" ht="99.75" x14ac:dyDescent="0.2">
      <c r="A216" s="23">
        <v>22</v>
      </c>
      <c r="B216" s="23" t="str">
        <f>Source!E119</f>
        <v>22</v>
      </c>
      <c r="C216" s="24" t="str">
        <f>Source!F119</f>
        <v>1.21-5-281</v>
      </c>
      <c r="D216" s="24" t="s">
        <v>196</v>
      </c>
      <c r="E216" s="25" t="str">
        <f>Source!H119</f>
        <v>компл.</v>
      </c>
      <c r="F216" s="10">
        <f>Source!I119</f>
        <v>10</v>
      </c>
      <c r="G216" s="27">
        <f>Source!AL119</f>
        <v>306.16000000000003</v>
      </c>
      <c r="H216" s="26" t="str">
        <f>Source!DD119</f>
        <v/>
      </c>
      <c r="I216" s="10">
        <f>Source!AW119</f>
        <v>1</v>
      </c>
      <c r="J216" s="28">
        <f>ROUND((ROUND((Source!AC119*Source!AW119*Source!I119),2)),2)</f>
        <v>3061.6</v>
      </c>
      <c r="K216" s="10">
        <f>IF(Source!BC119&lt;&gt; 0, Source!BC119, 1)</f>
        <v>3.02</v>
      </c>
      <c r="L216" s="28">
        <f>Source!P119</f>
        <v>9246.0300000000007</v>
      </c>
      <c r="Q216">
        <f>ROUND((Source!DN119/100)*ROUND((ROUND((Source!AF119*Source!AV119*Source!I119),2)),2), 2)</f>
        <v>0</v>
      </c>
      <c r="R216">
        <f>Source!X119</f>
        <v>0</v>
      </c>
      <c r="S216">
        <f>ROUND((Source!DO119/100)*ROUND((ROUND((Source!AF119*Source!AV119*Source!I119),2)),2), 2)</f>
        <v>0</v>
      </c>
      <c r="T216">
        <f>Source!Y119</f>
        <v>0</v>
      </c>
      <c r="U216">
        <f>ROUND((175/100)*ROUND((ROUND((Source!AE119*Source!AV119*Source!I119),2)),2), 2)</f>
        <v>0</v>
      </c>
      <c r="V216">
        <f>ROUND((157/100)*ROUND(ROUND((ROUND((Source!AE119*Source!AV119*Source!I119),2)*Source!BS119),2), 2), 2)</f>
        <v>0</v>
      </c>
    </row>
    <row r="217" spans="1:27" ht="15" x14ac:dyDescent="0.25">
      <c r="A217" s="31"/>
      <c r="B217" s="31"/>
      <c r="C217" s="31"/>
      <c r="D217" s="31"/>
      <c r="E217" s="31"/>
      <c r="F217" s="31"/>
      <c r="G217" s="31"/>
      <c r="H217" s="31"/>
      <c r="I217" s="56">
        <f>J216</f>
        <v>3061.6</v>
      </c>
      <c r="J217" s="56"/>
      <c r="K217" s="56">
        <f>L216</f>
        <v>9246.0300000000007</v>
      </c>
      <c r="L217" s="56"/>
      <c r="O217" s="30">
        <f>J216</f>
        <v>3061.6</v>
      </c>
      <c r="P217" s="30">
        <f>L216</f>
        <v>9246.0300000000007</v>
      </c>
      <c r="X217">
        <f>IF(Source!BI119&lt;=1,J216-0, 0)</f>
        <v>0</v>
      </c>
      <c r="Y217">
        <f>IF(Source!BI119=2,J216-0, 0)</f>
        <v>3061.6</v>
      </c>
      <c r="Z217">
        <f>IF(Source!BI119=3,J216-0, 0)</f>
        <v>0</v>
      </c>
      <c r="AA217">
        <f>IF(Source!BI119=4,J216,0)</f>
        <v>0</v>
      </c>
    </row>
    <row r="218" spans="1:27" ht="28.5" x14ac:dyDescent="0.2">
      <c r="A218" s="23">
        <v>23</v>
      </c>
      <c r="B218" s="23" t="str">
        <f>Source!E120</f>
        <v>23</v>
      </c>
      <c r="C218" s="24" t="str">
        <f>Source!F120</f>
        <v>1.23-16-1</v>
      </c>
      <c r="D218" s="24" t="s">
        <v>201</v>
      </c>
      <c r="E218" s="25" t="str">
        <f>Source!H120</f>
        <v>т</v>
      </c>
      <c r="F218" s="10">
        <f>Source!I120</f>
        <v>1.0999999999999999E-2</v>
      </c>
      <c r="G218" s="27">
        <f>Source!AL120</f>
        <v>31290.95</v>
      </c>
      <c r="H218" s="26" t="str">
        <f>Source!DD120</f>
        <v/>
      </c>
      <c r="I218" s="10">
        <f>Source!AW120</f>
        <v>1</v>
      </c>
      <c r="J218" s="28">
        <f>ROUND((ROUND((Source!AC120*Source!AW120*Source!I120),2)),2)</f>
        <v>344.2</v>
      </c>
      <c r="K218" s="10">
        <f>IF(Source!BC120&lt;&gt; 0, Source!BC120, 1)</f>
        <v>6.31</v>
      </c>
      <c r="L218" s="28">
        <f>Source!P120</f>
        <v>2171.9</v>
      </c>
      <c r="Q218">
        <f>ROUND((Source!DN120/100)*ROUND((ROUND((Source!AF120*Source!AV120*Source!I120),2)),2), 2)</f>
        <v>0</v>
      </c>
      <c r="R218">
        <f>Source!X120</f>
        <v>0</v>
      </c>
      <c r="S218">
        <f>ROUND((Source!DO120/100)*ROUND((ROUND((Source!AF120*Source!AV120*Source!I120),2)),2), 2)</f>
        <v>0</v>
      </c>
      <c r="T218">
        <f>Source!Y120</f>
        <v>0</v>
      </c>
      <c r="U218">
        <f>ROUND((175/100)*ROUND((ROUND((Source!AE120*Source!AV120*Source!I120),2)),2), 2)</f>
        <v>0</v>
      </c>
      <c r="V218">
        <f>ROUND((157/100)*ROUND(ROUND((ROUND((Source!AE120*Source!AV120*Source!I120),2)*Source!BS120),2), 2), 2)</f>
        <v>0</v>
      </c>
    </row>
    <row r="219" spans="1:27" ht="15" x14ac:dyDescent="0.25">
      <c r="A219" s="31"/>
      <c r="B219" s="31"/>
      <c r="C219" s="31"/>
      <c r="D219" s="31"/>
      <c r="E219" s="31"/>
      <c r="F219" s="31"/>
      <c r="G219" s="31"/>
      <c r="H219" s="31"/>
      <c r="I219" s="56">
        <f>J218</f>
        <v>344.2</v>
      </c>
      <c r="J219" s="56"/>
      <c r="K219" s="56">
        <f>L218</f>
        <v>2171.9</v>
      </c>
      <c r="L219" s="56"/>
      <c r="O219" s="30">
        <f>J218</f>
        <v>344.2</v>
      </c>
      <c r="P219" s="30">
        <f>L218</f>
        <v>2171.9</v>
      </c>
      <c r="X219">
        <f>IF(Source!BI120&lt;=1,J218-0, 0)</f>
        <v>0</v>
      </c>
      <c r="Y219">
        <f>IF(Source!BI120=2,J218-0, 0)</f>
        <v>344.2</v>
      </c>
      <c r="Z219">
        <f>IF(Source!BI120=3,J218-0, 0)</f>
        <v>0</v>
      </c>
      <c r="AA219">
        <f>IF(Source!BI120=4,J218,0)</f>
        <v>0</v>
      </c>
    </row>
    <row r="220" spans="1:27" ht="57" x14ac:dyDescent="0.2">
      <c r="A220" s="23">
        <v>24</v>
      </c>
      <c r="B220" s="23" t="str">
        <f>Source!E121</f>
        <v>24</v>
      </c>
      <c r="C220" s="24" t="str">
        <f>Source!F121</f>
        <v>Накладная №12 от 18.07.2019.</v>
      </c>
      <c r="D220" s="24" t="s">
        <v>205</v>
      </c>
      <c r="E220" s="25" t="str">
        <f>Source!H121</f>
        <v>КОМПЛЕКТ</v>
      </c>
      <c r="F220" s="10">
        <f>Source!I121</f>
        <v>1</v>
      </c>
      <c r="G220" s="27">
        <f>Source!AL121</f>
        <v>519757.17</v>
      </c>
      <c r="H220" s="26" t="str">
        <f>Source!DD121</f>
        <v/>
      </c>
      <c r="I220" s="10">
        <f>Source!AW121</f>
        <v>1</v>
      </c>
      <c r="J220" s="28">
        <f>ROUND((ROUND((Source!AC121*Source!AW121*Source!I121),2)),2)</f>
        <v>519757.17</v>
      </c>
      <c r="K220" s="10">
        <f>IF(Source!BC121&lt;&gt; 0, Source!BC121, 1)</f>
        <v>1</v>
      </c>
      <c r="L220" s="28">
        <f>Source!P121</f>
        <v>519757.17</v>
      </c>
      <c r="Q220">
        <f>ROUND((Source!DN121/100)*ROUND((ROUND((Source!AF121*Source!AV121*Source!I121),2)),2), 2)</f>
        <v>0</v>
      </c>
      <c r="R220">
        <f>Source!X121</f>
        <v>0</v>
      </c>
      <c r="S220">
        <f>ROUND((Source!DO121/100)*ROUND((ROUND((Source!AF121*Source!AV121*Source!I121),2)),2), 2)</f>
        <v>0</v>
      </c>
      <c r="T220">
        <f>Source!Y121</f>
        <v>0</v>
      </c>
      <c r="U220">
        <f>ROUND((175/100)*ROUND((ROUND((Source!AE121*Source!AV121*Source!I121),2)),2), 2)</f>
        <v>0</v>
      </c>
      <c r="V220">
        <f>ROUND((157/100)*ROUND(ROUND((ROUND((Source!AE121*Source!AV121*Source!I121),2)*Source!BS121),2), 2), 2)</f>
        <v>0</v>
      </c>
    </row>
    <row r="221" spans="1:27" ht="15" x14ac:dyDescent="0.25">
      <c r="A221" s="31"/>
      <c r="B221" s="31"/>
      <c r="C221" s="31"/>
      <c r="D221" s="31"/>
      <c r="E221" s="31"/>
      <c r="F221" s="31"/>
      <c r="G221" s="31"/>
      <c r="H221" s="31"/>
      <c r="I221" s="56">
        <f>J220</f>
        <v>519757.17</v>
      </c>
      <c r="J221" s="56"/>
      <c r="K221" s="56">
        <f>L220</f>
        <v>519757.17</v>
      </c>
      <c r="L221" s="56"/>
      <c r="O221" s="30">
        <f>J220</f>
        <v>519757.17</v>
      </c>
      <c r="P221" s="30">
        <f>L220</f>
        <v>519757.17</v>
      </c>
      <c r="X221">
        <f>IF(Source!BI121&lt;=1,J220-0, 0)</f>
        <v>0</v>
      </c>
      <c r="Y221">
        <f>IF(Source!BI121=2,J220-0, 0)</f>
        <v>0</v>
      </c>
      <c r="Z221">
        <f>IF(Source!BI121=3,J220-0, 0)</f>
        <v>0</v>
      </c>
      <c r="AA221">
        <f>IF(Source!BI121=4,J220,0)</f>
        <v>519757.17</v>
      </c>
    </row>
    <row r="223" spans="1:27" ht="15" x14ac:dyDescent="0.25">
      <c r="A223" s="55" t="str">
        <f>CONCATENATE("Итого по разделу: ",IF(Source!G123&lt;&gt;"Новый раздел", Source!G123, ""))</f>
        <v>Итого по разделу: Материалы, не учтенные ценником и оборудование.</v>
      </c>
      <c r="B223" s="55"/>
      <c r="C223" s="55"/>
      <c r="D223" s="55"/>
      <c r="E223" s="55"/>
      <c r="F223" s="55"/>
      <c r="G223" s="55"/>
      <c r="H223" s="55"/>
      <c r="I223" s="53">
        <f>SUM(O209:O222)</f>
        <v>526623.47</v>
      </c>
      <c r="J223" s="54"/>
      <c r="K223" s="53">
        <f>SUM(P209:P222)</f>
        <v>546637.73</v>
      </c>
      <c r="L223" s="54"/>
    </row>
    <row r="224" spans="1:27" hidden="1" x14ac:dyDescent="0.2">
      <c r="A224" t="s">
        <v>262</v>
      </c>
      <c r="I224">
        <f>SUM(AC209:AC223)</f>
        <v>0</v>
      </c>
      <c r="K224">
        <f>SUM(AD209:AD223)</f>
        <v>0</v>
      </c>
    </row>
    <row r="225" spans="1:38" hidden="1" x14ac:dyDescent="0.2">
      <c r="A225" t="s">
        <v>263</v>
      </c>
      <c r="I225">
        <f>SUM(AE209:AE224)</f>
        <v>0</v>
      </c>
      <c r="K225">
        <f>SUM(AF209:AF224)</f>
        <v>0</v>
      </c>
    </row>
    <row r="227" spans="1:38" ht="15" x14ac:dyDescent="0.25">
      <c r="A227" s="55" t="str">
        <f>CONCATENATE("Итого по локальной смете: ",IF(Source!G153&lt;&gt;"Новая локальная смета", Source!G153, ""))</f>
        <v>Итого по локальной смете: Реконструкция. Замена 3 панелей РУ-0,4 кВ.</v>
      </c>
      <c r="B227" s="55"/>
      <c r="C227" s="55"/>
      <c r="D227" s="55"/>
      <c r="E227" s="55"/>
      <c r="F227" s="55"/>
      <c r="G227" s="55"/>
      <c r="H227" s="55"/>
      <c r="I227" s="53">
        <f>SUM(O41:O226)</f>
        <v>537615.66</v>
      </c>
      <c r="J227" s="54"/>
      <c r="K227" s="53">
        <f>SUM(P41:P226)</f>
        <v>730052.5</v>
      </c>
      <c r="L227" s="54"/>
      <c r="AL227" s="34" t="str">
        <f>CONCATENATE("Итого по локальной смете: ",IF(Source!G153&lt;&gt;"Новая локальная смета", Source!G153, ""))</f>
        <v>Итого по локальной смете: Реконструкция. Замена 3 панелей РУ-0,4 кВ.</v>
      </c>
    </row>
    <row r="228" spans="1:38" hidden="1" x14ac:dyDescent="0.2">
      <c r="A228" t="s">
        <v>262</v>
      </c>
      <c r="I228">
        <f>SUM(AC41:AC227)</f>
        <v>0</v>
      </c>
      <c r="K228">
        <f>SUM(AD41:AD227)</f>
        <v>0</v>
      </c>
    </row>
    <row r="229" spans="1:38" hidden="1" x14ac:dyDescent="0.2">
      <c r="A229" t="s">
        <v>263</v>
      </c>
      <c r="I229">
        <f>SUM(AE41:AE228)</f>
        <v>0</v>
      </c>
      <c r="K229">
        <f>SUM(AF41:AF228)</f>
        <v>0</v>
      </c>
    </row>
    <row r="231" spans="1:38" ht="15" x14ac:dyDescent="0.25">
      <c r="A231" s="55" t="str">
        <f>CONCATENATE("Итого по смете: ",IF(Source!G183&lt;&gt;"Новый объект", Source!G183, ""))</f>
        <v>Итого по смете: ТП-533. Реконструкция. Замена 3 панелей РУ-0,4 кВ.</v>
      </c>
      <c r="B231" s="55"/>
      <c r="C231" s="55"/>
      <c r="D231" s="55"/>
      <c r="E231" s="55"/>
      <c r="F231" s="55"/>
      <c r="G231" s="55"/>
      <c r="H231" s="55"/>
      <c r="I231" s="53">
        <f>SUM(O1:O230)</f>
        <v>537615.66</v>
      </c>
      <c r="J231" s="54"/>
      <c r="K231" s="53">
        <f>SUM(P1:P230)</f>
        <v>730052.5</v>
      </c>
      <c r="L231" s="54"/>
      <c r="AL231" s="34" t="str">
        <f>CONCATENATE("Итого по смете: ",IF(Source!G183&lt;&gt;"Новый объект", Source!G183, ""))</f>
        <v>Итого по смете: ТП-533. Реконструкция. Замена 3 панелей РУ-0,4 кВ.</v>
      </c>
    </row>
    <row r="232" spans="1:38" hidden="1" x14ac:dyDescent="0.2">
      <c r="A232" t="s">
        <v>262</v>
      </c>
      <c r="I232">
        <f>SUM(AC1:AC231)</f>
        <v>0</v>
      </c>
      <c r="K232">
        <f>SUM(AD1:AD231)</f>
        <v>0</v>
      </c>
    </row>
    <row r="233" spans="1:38" hidden="1" x14ac:dyDescent="0.2">
      <c r="A233" t="s">
        <v>263</v>
      </c>
      <c r="I233">
        <f>SUM(AE1:AE232)</f>
        <v>0</v>
      </c>
      <c r="K233">
        <f>SUM(AF1:AF232)</f>
        <v>0</v>
      </c>
    </row>
    <row r="234" spans="1:38" ht="14.25" x14ac:dyDescent="0.2">
      <c r="D234" s="49" t="str">
        <f>Source!H212</f>
        <v>Итого</v>
      </c>
      <c r="E234" s="49"/>
      <c r="F234" s="49"/>
      <c r="G234" s="49"/>
      <c r="H234" s="49"/>
      <c r="I234" s="49"/>
      <c r="J234" s="49"/>
      <c r="K234" s="50">
        <f>IF(Source!F212=0, "", Source!F212)</f>
        <v>730052.5</v>
      </c>
      <c r="L234" s="50"/>
    </row>
    <row r="235" spans="1:38" ht="14.25" x14ac:dyDescent="0.2">
      <c r="D235" s="49" t="str">
        <f>Source!H213</f>
        <v>НДС 20%</v>
      </c>
      <c r="E235" s="49"/>
      <c r="F235" s="49"/>
      <c r="G235" s="49"/>
      <c r="H235" s="49"/>
      <c r="I235" s="49"/>
      <c r="J235" s="49"/>
      <c r="K235" s="50">
        <f>IF(Source!F213=0, "", Source!F213)</f>
        <v>146010.5</v>
      </c>
      <c r="L235" s="50"/>
    </row>
    <row r="236" spans="1:38" ht="14.25" x14ac:dyDescent="0.2">
      <c r="D236" s="49" t="str">
        <f>Source!H214</f>
        <v>Итого с НДС</v>
      </c>
      <c r="E236" s="49"/>
      <c r="F236" s="49"/>
      <c r="G236" s="49"/>
      <c r="H236" s="49"/>
      <c r="I236" s="49"/>
      <c r="J236" s="49"/>
      <c r="K236" s="50">
        <f>IF(Source!F214=0, "", Source!F214)</f>
        <v>876063</v>
      </c>
      <c r="L236" s="50"/>
    </row>
    <row r="239" spans="1:38" ht="14.25" x14ac:dyDescent="0.2">
      <c r="A239" s="11"/>
      <c r="B239" s="51" t="s">
        <v>300</v>
      </c>
      <c r="C239" s="51"/>
      <c r="D239" s="35" t="str">
        <f>IF(Source!AM12&lt;&gt;"", Source!AM12," ")</f>
        <v xml:space="preserve"> </v>
      </c>
      <c r="E239" s="35"/>
      <c r="F239" s="35"/>
      <c r="G239" s="35"/>
      <c r="H239" s="35"/>
      <c r="I239" s="52" t="str">
        <f>IF(Source!AL12&lt;&gt;"", Source!AL12," ")</f>
        <v xml:space="preserve"> </v>
      </c>
      <c r="J239" s="52"/>
      <c r="K239" s="52"/>
    </row>
    <row r="240" spans="1:38" ht="14.25" x14ac:dyDescent="0.2">
      <c r="A240" s="11"/>
      <c r="B240" s="11"/>
      <c r="C240" s="11"/>
      <c r="D240" s="48" t="s">
        <v>266</v>
      </c>
      <c r="E240" s="48"/>
      <c r="F240" s="48"/>
      <c r="G240" s="48"/>
      <c r="H240" s="48"/>
      <c r="I240" s="11"/>
      <c r="J240" s="11"/>
      <c r="K240" s="11"/>
    </row>
    <row r="241" spans="1:11" ht="14.2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4.25" x14ac:dyDescent="0.2">
      <c r="A242" s="11"/>
      <c r="B242" s="51" t="s">
        <v>301</v>
      </c>
      <c r="C242" s="51"/>
      <c r="D242" s="35" t="str">
        <f>IF(Source!AI12&lt;&gt;"", Source!AI12," ")</f>
        <v>Директор</v>
      </c>
      <c r="E242" s="35"/>
      <c r="F242" s="35"/>
      <c r="G242" s="35"/>
      <c r="H242" s="35"/>
      <c r="I242" s="52" t="str">
        <f>IF(Source!AH12&lt;&gt;"", Source!AH12," ")</f>
        <v>А.П. Воробьева</v>
      </c>
      <c r="J242" s="52"/>
      <c r="K242" s="52"/>
    </row>
    <row r="243" spans="1:11" ht="14.25" x14ac:dyDescent="0.2">
      <c r="A243" s="11"/>
      <c r="B243" s="11"/>
      <c r="C243" s="11"/>
      <c r="D243" s="48" t="s">
        <v>266</v>
      </c>
      <c r="E243" s="48"/>
      <c r="F243" s="48"/>
      <c r="G243" s="48"/>
      <c r="H243" s="48"/>
      <c r="I243" s="11"/>
      <c r="J243" s="11"/>
      <c r="K243" s="11"/>
    </row>
  </sheetData>
  <mergeCells count="126">
    <mergeCell ref="I2:L2"/>
    <mergeCell ref="I3:L3"/>
    <mergeCell ref="I4:L4"/>
    <mergeCell ref="J6:L6"/>
    <mergeCell ref="H7:I7"/>
    <mergeCell ref="J7:L7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K82:L82"/>
    <mergeCell ref="I82:J82"/>
    <mergeCell ref="K93:L93"/>
    <mergeCell ref="I93:J93"/>
    <mergeCell ref="K103:L103"/>
    <mergeCell ref="I103:J103"/>
    <mergeCell ref="A42:L42"/>
    <mergeCell ref="K52:L52"/>
    <mergeCell ref="I52:J52"/>
    <mergeCell ref="K62:L62"/>
    <mergeCell ref="I62:J62"/>
    <mergeCell ref="K71:L71"/>
    <mergeCell ref="I71:J71"/>
    <mergeCell ref="K143:L143"/>
    <mergeCell ref="I143:J143"/>
    <mergeCell ref="K145:L145"/>
    <mergeCell ref="I145:J145"/>
    <mergeCell ref="A145:H145"/>
    <mergeCell ref="A149:L149"/>
    <mergeCell ref="K113:L113"/>
    <mergeCell ref="I113:J113"/>
    <mergeCell ref="K124:L124"/>
    <mergeCell ref="I124:J124"/>
    <mergeCell ref="K135:L135"/>
    <mergeCell ref="I135:J135"/>
    <mergeCell ref="K173:L173"/>
    <mergeCell ref="I173:J173"/>
    <mergeCell ref="K179:L179"/>
    <mergeCell ref="I179:J179"/>
    <mergeCell ref="K185:L185"/>
    <mergeCell ref="I185:J185"/>
    <mergeCell ref="K155:L155"/>
    <mergeCell ref="I155:J155"/>
    <mergeCell ref="K161:L161"/>
    <mergeCell ref="I161:J161"/>
    <mergeCell ref="K167:L167"/>
    <mergeCell ref="I167:J167"/>
    <mergeCell ref="K205:L205"/>
    <mergeCell ref="I205:J205"/>
    <mergeCell ref="A205:H205"/>
    <mergeCell ref="A209:L209"/>
    <mergeCell ref="K212:L212"/>
    <mergeCell ref="I212:J212"/>
    <mergeCell ref="K191:L191"/>
    <mergeCell ref="I191:J191"/>
    <mergeCell ref="K197:L197"/>
    <mergeCell ref="I197:J197"/>
    <mergeCell ref="K203:L203"/>
    <mergeCell ref="I203:J203"/>
    <mergeCell ref="K221:L221"/>
    <mergeCell ref="I221:J221"/>
    <mergeCell ref="K223:L223"/>
    <mergeCell ref="I223:J223"/>
    <mergeCell ref="A223:H223"/>
    <mergeCell ref="K227:L227"/>
    <mergeCell ref="I227:J227"/>
    <mergeCell ref="A227:H227"/>
    <mergeCell ref="K215:L215"/>
    <mergeCell ref="I215:J215"/>
    <mergeCell ref="K217:L217"/>
    <mergeCell ref="I217:J217"/>
    <mergeCell ref="K219:L219"/>
    <mergeCell ref="I219:J219"/>
    <mergeCell ref="D243:H243"/>
    <mergeCell ref="D236:J236"/>
    <mergeCell ref="K236:L236"/>
    <mergeCell ref="B239:C239"/>
    <mergeCell ref="I239:K239"/>
    <mergeCell ref="D240:H240"/>
    <mergeCell ref="B242:C242"/>
    <mergeCell ref="I242:K242"/>
    <mergeCell ref="K231:L231"/>
    <mergeCell ref="I231:J231"/>
    <mergeCell ref="A231:H231"/>
    <mergeCell ref="D234:J234"/>
    <mergeCell ref="K234:L234"/>
    <mergeCell ref="D235:J235"/>
    <mergeCell ref="K235:L235"/>
  </mergeCells>
  <pageMargins left="0.4" right="0.2" top="0.2" bottom="0.4" header="0.2" footer="0.2"/>
  <pageSetup paperSize="9" scale="68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43" t="str">
        <f>Source!B1</f>
        <v>Smeta.RU  (495) 974-1589</v>
      </c>
      <c r="B1" s="143"/>
      <c r="C1" s="143"/>
      <c r="D1" s="143"/>
      <c r="E1" s="11"/>
      <c r="F1" s="11"/>
      <c r="G1" s="11"/>
      <c r="H1" s="144" t="s">
        <v>302</v>
      </c>
      <c r="I1" s="144"/>
      <c r="J1" s="144"/>
      <c r="K1" s="144"/>
      <c r="L1" s="144"/>
    </row>
    <row r="2" spans="1:12" ht="14.25" x14ac:dyDescent="0.2">
      <c r="A2" s="11"/>
      <c r="B2" s="11"/>
      <c r="C2" s="11"/>
      <c r="D2" s="11"/>
      <c r="E2" s="11"/>
      <c r="F2" s="11"/>
      <c r="G2" s="11"/>
      <c r="H2" s="144" t="s">
        <v>269</v>
      </c>
      <c r="I2" s="144"/>
      <c r="J2" s="144"/>
      <c r="K2" s="144"/>
      <c r="L2" s="144"/>
    </row>
    <row r="3" spans="1:12" ht="14.25" x14ac:dyDescent="0.2">
      <c r="A3" s="11"/>
      <c r="B3" s="11"/>
      <c r="C3" s="11"/>
      <c r="D3" s="11"/>
      <c r="E3" s="11"/>
      <c r="F3" s="11"/>
      <c r="G3" s="11"/>
      <c r="H3" s="144" t="s">
        <v>270</v>
      </c>
      <c r="I3" s="144"/>
      <c r="J3" s="144"/>
      <c r="K3" s="144"/>
      <c r="L3" s="144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6" t="s">
        <v>303</v>
      </c>
      <c r="L4" s="108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7" t="s">
        <v>272</v>
      </c>
      <c r="J5" s="67"/>
      <c r="K5" s="106">
        <v>322001</v>
      </c>
      <c r="L5" s="108"/>
    </row>
    <row r="6" spans="1:12" ht="14.25" x14ac:dyDescent="0.2">
      <c r="A6" s="67" t="s">
        <v>304</v>
      </c>
      <c r="B6" s="67"/>
      <c r="C6" s="140"/>
      <c r="D6" s="140"/>
      <c r="E6" s="140"/>
      <c r="F6" s="140"/>
      <c r="G6" s="140"/>
      <c r="H6" s="140"/>
      <c r="I6" s="140"/>
      <c r="J6" s="10" t="s">
        <v>275</v>
      </c>
      <c r="K6" s="106"/>
      <c r="L6" s="108"/>
    </row>
    <row r="7" spans="1:12" ht="14.25" x14ac:dyDescent="0.2">
      <c r="A7" s="11"/>
      <c r="B7" s="11"/>
      <c r="C7" s="48" t="s">
        <v>276</v>
      </c>
      <c r="D7" s="48"/>
      <c r="E7" s="48"/>
      <c r="F7" s="48"/>
      <c r="G7" s="48"/>
      <c r="H7" s="48"/>
      <c r="I7" s="48"/>
      <c r="J7" s="11"/>
      <c r="K7" s="36"/>
      <c r="L7" s="43"/>
    </row>
    <row r="8" spans="1:12" ht="14.25" x14ac:dyDescent="0.2">
      <c r="A8" s="67" t="s">
        <v>305</v>
      </c>
      <c r="B8" s="67"/>
      <c r="C8" s="140"/>
      <c r="D8" s="140"/>
      <c r="E8" s="140"/>
      <c r="F8" s="140"/>
      <c r="G8" s="140"/>
      <c r="H8" s="140"/>
      <c r="I8" s="35"/>
      <c r="J8" s="10" t="s">
        <v>275</v>
      </c>
      <c r="K8" s="141"/>
      <c r="L8" s="142"/>
    </row>
    <row r="9" spans="1:12" ht="14.25" x14ac:dyDescent="0.2">
      <c r="A9" s="11"/>
      <c r="B9" s="11"/>
      <c r="C9" s="48" t="s">
        <v>276</v>
      </c>
      <c r="D9" s="48"/>
      <c r="E9" s="48"/>
      <c r="F9" s="48"/>
      <c r="G9" s="48"/>
      <c r="H9" s="48"/>
      <c r="I9" s="48"/>
      <c r="J9" s="11"/>
      <c r="K9" s="36"/>
      <c r="L9" s="43"/>
    </row>
    <row r="10" spans="1:12" ht="14.25" x14ac:dyDescent="0.2">
      <c r="A10" s="67" t="s">
        <v>306</v>
      </c>
      <c r="B10" s="67"/>
      <c r="C10" s="140"/>
      <c r="D10" s="140"/>
      <c r="E10" s="140"/>
      <c r="F10" s="140"/>
      <c r="G10" s="140"/>
      <c r="H10" s="140"/>
      <c r="I10" s="140"/>
      <c r="J10" s="10" t="s">
        <v>275</v>
      </c>
      <c r="K10" s="141"/>
      <c r="L10" s="142"/>
    </row>
    <row r="11" spans="1:12" ht="14.25" x14ac:dyDescent="0.2">
      <c r="A11" s="11"/>
      <c r="B11" s="11"/>
      <c r="C11" s="48" t="s">
        <v>276</v>
      </c>
      <c r="D11" s="48"/>
      <c r="E11" s="48"/>
      <c r="F11" s="48"/>
      <c r="G11" s="48"/>
      <c r="H11" s="48"/>
      <c r="I11" s="48"/>
      <c r="J11" s="11"/>
      <c r="K11" s="36"/>
      <c r="L11" s="43"/>
    </row>
    <row r="12" spans="1:12" ht="14.25" x14ac:dyDescent="0.2">
      <c r="A12" s="67" t="s">
        <v>307</v>
      </c>
      <c r="B12" s="67"/>
      <c r="C12" s="140"/>
      <c r="D12" s="140"/>
      <c r="E12" s="140"/>
      <c r="F12" s="140"/>
      <c r="G12" s="140"/>
      <c r="H12" s="140"/>
      <c r="I12" s="140"/>
      <c r="J12" s="10" t="s">
        <v>275</v>
      </c>
      <c r="K12" s="141"/>
      <c r="L12" s="142"/>
    </row>
    <row r="13" spans="1:12" ht="14.25" x14ac:dyDescent="0.2">
      <c r="A13" s="11"/>
      <c r="B13" s="11"/>
      <c r="C13" s="48" t="s">
        <v>280</v>
      </c>
      <c r="D13" s="48"/>
      <c r="E13" s="48"/>
      <c r="F13" s="48"/>
      <c r="G13" s="48"/>
      <c r="H13" s="67" t="s">
        <v>308</v>
      </c>
      <c r="I13" s="67"/>
      <c r="J13" s="77"/>
      <c r="K13" s="106"/>
      <c r="L13" s="108"/>
    </row>
    <row r="14" spans="1:12" ht="14.25" x14ac:dyDescent="0.2">
      <c r="A14" s="11"/>
      <c r="B14" s="11"/>
      <c r="C14" s="11"/>
      <c r="D14" s="11"/>
      <c r="E14" s="67" t="s">
        <v>309</v>
      </c>
      <c r="F14" s="67"/>
      <c r="G14" s="67"/>
      <c r="H14" s="67"/>
      <c r="I14" s="139" t="s">
        <v>285</v>
      </c>
      <c r="J14" s="98"/>
      <c r="K14" s="106"/>
      <c r="L14" s="108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4" t="s">
        <v>286</v>
      </c>
      <c r="J15" s="125"/>
      <c r="K15" s="126"/>
      <c r="L15" s="127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8" t="s">
        <v>310</v>
      </c>
      <c r="J16" s="98"/>
      <c r="K16" s="128"/>
      <c r="L16" s="129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30" t="s">
        <v>311</v>
      </c>
      <c r="D19" s="131"/>
      <c r="E19" s="130" t="s">
        <v>312</v>
      </c>
      <c r="F19" s="134"/>
      <c r="G19" s="11"/>
      <c r="H19" s="11"/>
      <c r="I19" s="130" t="s">
        <v>290</v>
      </c>
      <c r="J19" s="131"/>
      <c r="K19" s="131"/>
      <c r="L19" s="134"/>
    </row>
    <row r="20" spans="1:12" ht="14.25" x14ac:dyDescent="0.2">
      <c r="A20" s="11"/>
      <c r="B20" s="11"/>
      <c r="C20" s="132"/>
      <c r="D20" s="133"/>
      <c r="E20" s="132"/>
      <c r="F20" s="135"/>
      <c r="G20" s="11"/>
      <c r="H20" s="11"/>
      <c r="I20" s="136" t="s">
        <v>291</v>
      </c>
      <c r="J20" s="137"/>
      <c r="K20" s="136" t="s">
        <v>292</v>
      </c>
      <c r="L20" s="138"/>
    </row>
    <row r="21" spans="1:12" ht="14.25" x14ac:dyDescent="0.2">
      <c r="A21" s="11"/>
      <c r="B21" s="11"/>
      <c r="C21" s="119"/>
      <c r="D21" s="120"/>
      <c r="E21" s="121"/>
      <c r="F21" s="122"/>
      <c r="G21" s="44"/>
      <c r="H21" s="44"/>
      <c r="I21" s="121"/>
      <c r="J21" s="123"/>
      <c r="K21" s="121"/>
      <c r="L21" s="122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5" t="s">
        <v>313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8" x14ac:dyDescent="0.25">
      <c r="A25" s="75" t="s">
        <v>314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3" t="s">
        <v>315</v>
      </c>
      <c r="B28" s="113" t="s">
        <v>316</v>
      </c>
      <c r="C28" s="115"/>
      <c r="D28" s="115"/>
      <c r="E28" s="115"/>
      <c r="F28" s="113" t="s">
        <v>271</v>
      </c>
      <c r="G28" s="113" t="s">
        <v>317</v>
      </c>
      <c r="H28" s="115"/>
      <c r="I28" s="115"/>
      <c r="J28" s="115"/>
      <c r="K28" s="115"/>
      <c r="L28" s="117"/>
    </row>
    <row r="29" spans="1:12" x14ac:dyDescent="0.2">
      <c r="A29" s="114"/>
      <c r="B29" s="114"/>
      <c r="C29" s="116"/>
      <c r="D29" s="116"/>
      <c r="E29" s="116"/>
      <c r="F29" s="114"/>
      <c r="G29" s="113" t="s">
        <v>318</v>
      </c>
      <c r="H29" s="115"/>
      <c r="I29" s="113" t="s">
        <v>319</v>
      </c>
      <c r="J29" s="115"/>
      <c r="K29" s="113" t="s">
        <v>320</v>
      </c>
      <c r="L29" s="117"/>
    </row>
    <row r="30" spans="1:12" x14ac:dyDescent="0.2">
      <c r="A30" s="114"/>
      <c r="B30" s="114"/>
      <c r="C30" s="116"/>
      <c r="D30" s="116"/>
      <c r="E30" s="116"/>
      <c r="F30" s="114"/>
      <c r="G30" s="114"/>
      <c r="H30" s="116"/>
      <c r="I30" s="114"/>
      <c r="J30" s="116"/>
      <c r="K30" s="114"/>
      <c r="L30" s="118"/>
    </row>
    <row r="31" spans="1:12" x14ac:dyDescent="0.2">
      <c r="A31" s="114"/>
      <c r="B31" s="114"/>
      <c r="C31" s="116"/>
      <c r="D31" s="116"/>
      <c r="E31" s="116"/>
      <c r="F31" s="114"/>
      <c r="G31" s="114"/>
      <c r="H31" s="116"/>
      <c r="I31" s="114"/>
      <c r="J31" s="116"/>
      <c r="K31" s="114"/>
      <c r="L31" s="118"/>
    </row>
    <row r="32" spans="1:12" x14ac:dyDescent="0.2">
      <c r="A32" s="114"/>
      <c r="B32" s="114"/>
      <c r="C32" s="116"/>
      <c r="D32" s="116"/>
      <c r="E32" s="116"/>
      <c r="F32" s="114"/>
      <c r="G32" s="114"/>
      <c r="H32" s="116"/>
      <c r="I32" s="114"/>
      <c r="J32" s="116"/>
      <c r="K32" s="114"/>
      <c r="L32" s="118"/>
    </row>
    <row r="33" spans="1:12" ht="14.25" x14ac:dyDescent="0.2">
      <c r="A33" s="36">
        <v>1</v>
      </c>
      <c r="B33" s="106">
        <v>2</v>
      </c>
      <c r="C33" s="107"/>
      <c r="D33" s="107"/>
      <c r="E33" s="107"/>
      <c r="F33" s="36">
        <v>3</v>
      </c>
      <c r="G33" s="106">
        <v>4</v>
      </c>
      <c r="H33" s="107"/>
      <c r="I33" s="106">
        <v>5</v>
      </c>
      <c r="J33" s="107"/>
      <c r="K33" s="106">
        <v>6</v>
      </c>
      <c r="L33" s="108"/>
    </row>
    <row r="34" spans="1:12" ht="14.25" x14ac:dyDescent="0.2">
      <c r="A34" s="45"/>
      <c r="B34" s="109" t="s">
        <v>321</v>
      </c>
      <c r="C34" s="96"/>
      <c r="D34" s="96"/>
      <c r="E34" s="96"/>
      <c r="F34" s="46"/>
      <c r="G34" s="110"/>
      <c r="H34" s="111"/>
      <c r="I34" s="110"/>
      <c r="J34" s="111"/>
      <c r="K34" s="110"/>
      <c r="L34" s="112"/>
    </row>
    <row r="35" spans="1:12" ht="14.25" x14ac:dyDescent="0.2">
      <c r="A35" s="47"/>
      <c r="B35" s="94" t="s">
        <v>322</v>
      </c>
      <c r="C35" s="95"/>
      <c r="D35" s="95"/>
      <c r="E35" s="95"/>
      <c r="F35" s="95"/>
      <c r="G35" s="95"/>
      <c r="H35" s="95"/>
      <c r="I35" s="95"/>
      <c r="J35" s="95"/>
      <c r="K35" s="96"/>
      <c r="L35" s="97"/>
    </row>
    <row r="36" spans="1:12" ht="14.25" x14ac:dyDescent="0.2">
      <c r="A36" s="98" t="s">
        <v>209</v>
      </c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99"/>
    </row>
    <row r="37" spans="1:12" ht="14.25" x14ac:dyDescent="0.2">
      <c r="A37" s="101" t="s">
        <v>323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03"/>
    </row>
    <row r="38" spans="1:12" ht="14.25" x14ac:dyDescent="0.2">
      <c r="A38" s="101" t="s">
        <v>324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4"/>
      <c r="L38" s="105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91" t="s">
        <v>305</v>
      </c>
      <c r="B42" s="91"/>
      <c r="C42" s="92"/>
      <c r="D42" s="92"/>
      <c r="E42" s="92"/>
      <c r="F42" s="11"/>
      <c r="G42" s="92"/>
      <c r="H42" s="92"/>
      <c r="I42" s="11"/>
      <c r="J42" s="92"/>
      <c r="K42" s="92"/>
      <c r="L42" s="92"/>
    </row>
    <row r="43" spans="1:12" ht="14.25" x14ac:dyDescent="0.2">
      <c r="A43" s="11"/>
      <c r="B43" s="11"/>
      <c r="C43" s="93" t="s">
        <v>325</v>
      </c>
      <c r="D43" s="93"/>
      <c r="E43" s="93"/>
      <c r="F43" s="11"/>
      <c r="G43" s="93" t="s">
        <v>326</v>
      </c>
      <c r="H43" s="93"/>
      <c r="I43" s="11"/>
      <c r="J43" s="93" t="s">
        <v>327</v>
      </c>
      <c r="K43" s="93"/>
      <c r="L43" s="93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328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91" t="s">
        <v>306</v>
      </c>
      <c r="B49" s="91"/>
      <c r="C49" s="92"/>
      <c r="D49" s="92"/>
      <c r="E49" s="92"/>
      <c r="F49" s="11"/>
      <c r="G49" s="92"/>
      <c r="H49" s="92"/>
      <c r="I49" s="11"/>
      <c r="J49" s="92"/>
      <c r="K49" s="92"/>
      <c r="L49" s="92"/>
    </row>
    <row r="50" spans="1:12" ht="14.25" x14ac:dyDescent="0.2">
      <c r="A50" s="11"/>
      <c r="B50" s="11"/>
      <c r="C50" s="93" t="s">
        <v>325</v>
      </c>
      <c r="D50" s="93"/>
      <c r="E50" s="93"/>
      <c r="F50" s="11"/>
      <c r="G50" s="93" t="s">
        <v>326</v>
      </c>
      <c r="H50" s="93"/>
      <c r="I50" s="11"/>
      <c r="J50" s="93" t="s">
        <v>327</v>
      </c>
      <c r="K50" s="93"/>
      <c r="L50" s="93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328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24"/>
  <sheetViews>
    <sheetView workbookViewId="0">
      <selection activeCell="H20" sqref="H20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219</v>
      </c>
      <c r="C12" s="1">
        <v>0</v>
      </c>
      <c r="D12" s="1">
        <f>ROW(A183)</f>
        <v>183</v>
      </c>
      <c r="E12" s="1">
        <v>0</v>
      </c>
      <c r="F12" s="1" t="s">
        <v>329</v>
      </c>
      <c r="G12" s="1" t="s">
        <v>329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B183</f>
        <v>219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ТП-533. Реконструкция. Замена 3 панелей РУ-0,4 кВ.</v>
      </c>
      <c r="G18" s="2" t="str">
        <f t="shared" si="0"/>
        <v>ТП-533. Реконструкция. Замена 3 панелей РУ-0,4 кВ.</v>
      </c>
      <c r="H18" s="2"/>
      <c r="I18" s="2"/>
      <c r="J18" s="2"/>
      <c r="K18" s="2"/>
      <c r="L18" s="2"/>
      <c r="M18" s="2"/>
      <c r="N18" s="2"/>
      <c r="O18" s="2">
        <f t="shared" ref="O18:AT18" si="1">O183</f>
        <v>638187.67000000004</v>
      </c>
      <c r="P18" s="2">
        <f t="shared" si="1"/>
        <v>554400.54</v>
      </c>
      <c r="Q18" s="2">
        <f t="shared" si="1"/>
        <v>9210.1</v>
      </c>
      <c r="R18" s="2">
        <f t="shared" si="1"/>
        <v>4767.54</v>
      </c>
      <c r="S18" s="2">
        <f t="shared" si="1"/>
        <v>74577.03</v>
      </c>
      <c r="T18" s="2">
        <f t="shared" si="1"/>
        <v>0</v>
      </c>
      <c r="U18" s="2">
        <f t="shared" si="1"/>
        <v>212.86999676000002</v>
      </c>
      <c r="V18" s="2">
        <f t="shared" si="1"/>
        <v>0</v>
      </c>
      <c r="W18" s="2">
        <f t="shared" si="1"/>
        <v>0</v>
      </c>
      <c r="X18" s="2">
        <f t="shared" si="1"/>
        <v>53803.19</v>
      </c>
      <c r="Y18" s="2">
        <f t="shared" si="1"/>
        <v>30576.6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730052.5</v>
      </c>
      <c r="AS18" s="2">
        <f t="shared" si="1"/>
        <v>0</v>
      </c>
      <c r="AT18" s="2">
        <f t="shared" si="1"/>
        <v>126204.68</v>
      </c>
      <c r="AU18" s="2">
        <f t="shared" ref="AU18:BZ18" si="2">AU183</f>
        <v>603847.81999999995</v>
      </c>
      <c r="AV18" s="2">
        <f t="shared" si="2"/>
        <v>554400.54</v>
      </c>
      <c r="AW18" s="2">
        <f t="shared" si="2"/>
        <v>554400.54</v>
      </c>
      <c r="AX18" s="2">
        <f t="shared" si="2"/>
        <v>0</v>
      </c>
      <c r="AY18" s="2">
        <f t="shared" si="2"/>
        <v>554400.54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CA183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DG183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EM183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FS183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ROW(A153)</f>
        <v>153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B153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Реконструкция. Замена 3 панелей РУ-0,4 кВ.</v>
      </c>
      <c r="H22" s="2"/>
      <c r="I22" s="2"/>
      <c r="J22" s="2"/>
      <c r="K22" s="2"/>
      <c r="L22" s="2"/>
      <c r="M22" s="2"/>
      <c r="N22" s="2"/>
      <c r="O22" s="2">
        <f t="shared" ref="O22:AT22" si="8">O153</f>
        <v>638187.67000000004</v>
      </c>
      <c r="P22" s="2">
        <f t="shared" si="8"/>
        <v>554400.54</v>
      </c>
      <c r="Q22" s="2">
        <f t="shared" si="8"/>
        <v>9210.1</v>
      </c>
      <c r="R22" s="2">
        <f t="shared" si="8"/>
        <v>4767.54</v>
      </c>
      <c r="S22" s="2">
        <f t="shared" si="8"/>
        <v>74577.03</v>
      </c>
      <c r="T22" s="2">
        <f t="shared" si="8"/>
        <v>0</v>
      </c>
      <c r="U22" s="2">
        <f t="shared" si="8"/>
        <v>212.86999676000002</v>
      </c>
      <c r="V22" s="2">
        <f t="shared" si="8"/>
        <v>0</v>
      </c>
      <c r="W22" s="2">
        <f t="shared" si="8"/>
        <v>0</v>
      </c>
      <c r="X22" s="2">
        <f t="shared" si="8"/>
        <v>53803.19</v>
      </c>
      <c r="Y22" s="2">
        <f t="shared" si="8"/>
        <v>30576.6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730052.5</v>
      </c>
      <c r="AS22" s="2">
        <f t="shared" si="8"/>
        <v>0</v>
      </c>
      <c r="AT22" s="2">
        <f t="shared" si="8"/>
        <v>126204.68</v>
      </c>
      <c r="AU22" s="2">
        <f t="shared" ref="AU22:BZ22" si="9">AU153</f>
        <v>603847.81999999995</v>
      </c>
      <c r="AV22" s="2">
        <f t="shared" si="9"/>
        <v>554400.54</v>
      </c>
      <c r="AW22" s="2">
        <f t="shared" si="9"/>
        <v>554400.54</v>
      </c>
      <c r="AX22" s="2">
        <f t="shared" si="9"/>
        <v>0</v>
      </c>
      <c r="AY22" s="2">
        <f t="shared" si="9"/>
        <v>554400.54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CA153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DG153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EM153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FS153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ROW(A39)</f>
        <v>39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B39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Электромонтажные работы.</v>
      </c>
      <c r="H26" s="2"/>
      <c r="I26" s="2"/>
      <c r="J26" s="2"/>
      <c r="K26" s="2"/>
      <c r="L26" s="2"/>
      <c r="M26" s="2"/>
      <c r="N26" s="2"/>
      <c r="O26" s="2">
        <f t="shared" ref="O26:AT26" si="15">O39</f>
        <v>51315.19</v>
      </c>
      <c r="P26" s="2">
        <f t="shared" si="15"/>
        <v>7762.81</v>
      </c>
      <c r="Q26" s="2">
        <f t="shared" si="15"/>
        <v>9210.1</v>
      </c>
      <c r="R26" s="2">
        <f t="shared" si="15"/>
        <v>4767.54</v>
      </c>
      <c r="S26" s="2">
        <f t="shared" si="15"/>
        <v>34342.28</v>
      </c>
      <c r="T26" s="2">
        <f t="shared" si="15"/>
        <v>0</v>
      </c>
      <c r="U26" s="2">
        <f t="shared" si="15"/>
        <v>105.36519676</v>
      </c>
      <c r="V26" s="2">
        <f t="shared" si="15"/>
        <v>0</v>
      </c>
      <c r="W26" s="2">
        <f t="shared" si="15"/>
        <v>0</v>
      </c>
      <c r="X26" s="2">
        <f t="shared" si="15"/>
        <v>26443.54</v>
      </c>
      <c r="Y26" s="2">
        <f t="shared" si="15"/>
        <v>14080.35</v>
      </c>
      <c r="Z26" s="2">
        <f t="shared" si="15"/>
        <v>0</v>
      </c>
      <c r="AA26" s="2">
        <f t="shared" si="15"/>
        <v>0</v>
      </c>
      <c r="AB26" s="2">
        <f t="shared" si="15"/>
        <v>51315.19</v>
      </c>
      <c r="AC26" s="2">
        <f t="shared" si="15"/>
        <v>7762.81</v>
      </c>
      <c r="AD26" s="2">
        <f t="shared" si="15"/>
        <v>9210.1</v>
      </c>
      <c r="AE26" s="2">
        <f t="shared" si="15"/>
        <v>4767.54</v>
      </c>
      <c r="AF26" s="2">
        <f t="shared" si="15"/>
        <v>34342.28</v>
      </c>
      <c r="AG26" s="2">
        <f t="shared" si="15"/>
        <v>0</v>
      </c>
      <c r="AH26" s="2">
        <f t="shared" si="15"/>
        <v>105.36519676</v>
      </c>
      <c r="AI26" s="2">
        <f t="shared" si="15"/>
        <v>0</v>
      </c>
      <c r="AJ26" s="2">
        <f t="shared" si="15"/>
        <v>0</v>
      </c>
      <c r="AK26" s="2">
        <f t="shared" si="15"/>
        <v>26443.54</v>
      </c>
      <c r="AL26" s="2">
        <f t="shared" si="15"/>
        <v>14080.35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99324.12</v>
      </c>
      <c r="AS26" s="2">
        <f t="shared" si="15"/>
        <v>0</v>
      </c>
      <c r="AT26" s="2">
        <f t="shared" si="15"/>
        <v>99324.12</v>
      </c>
      <c r="AU26" s="2">
        <f t="shared" ref="AU26:BZ26" si="16">AU39</f>
        <v>0</v>
      </c>
      <c r="AV26" s="2">
        <f t="shared" si="16"/>
        <v>7762.81</v>
      </c>
      <c r="AW26" s="2">
        <f t="shared" si="16"/>
        <v>7762.81</v>
      </c>
      <c r="AX26" s="2">
        <f t="shared" si="16"/>
        <v>0</v>
      </c>
      <c r="AY26" s="2">
        <f t="shared" si="16"/>
        <v>7762.81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CA39</f>
        <v>99324.12</v>
      </c>
      <c r="CB26" s="2">
        <f t="shared" si="17"/>
        <v>0</v>
      </c>
      <c r="CC26" s="2">
        <f t="shared" si="17"/>
        <v>99324.12</v>
      </c>
      <c r="CD26" s="2">
        <f t="shared" si="17"/>
        <v>0</v>
      </c>
      <c r="CE26" s="2">
        <f t="shared" si="17"/>
        <v>7762.81</v>
      </c>
      <c r="CF26" s="2">
        <f t="shared" si="17"/>
        <v>7762.81</v>
      </c>
      <c r="CG26" s="2">
        <f t="shared" si="17"/>
        <v>0</v>
      </c>
      <c r="CH26" s="2">
        <f t="shared" si="17"/>
        <v>7762.81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DG39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EM39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FS39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23</v>
      </c>
      <c r="F28" t="s">
        <v>24</v>
      </c>
      <c r="G28" t="s">
        <v>25</v>
      </c>
      <c r="H28" t="s">
        <v>26</v>
      </c>
      <c r="I28">
        <f>ROUND(0.117,9)</f>
        <v>0.11700000000000001</v>
      </c>
      <c r="J28">
        <v>0</v>
      </c>
      <c r="O28">
        <f t="shared" ref="O28:O37" si="21">ROUND(CP28,2)</f>
        <v>6690.88</v>
      </c>
      <c r="P28">
        <f t="shared" ref="P28:P37" si="22">ROUND((ROUND((AC28*AW28*I28),2)*BC28),2)</f>
        <v>3375.02</v>
      </c>
      <c r="Q28">
        <f>(ROUND((ROUND((((ET28*1.2))*AV28*I28),2)*BB28),2)+ROUND((ROUND(((AE28-((EU28*1.2)))*AV28*I28),2)*BS28),2))</f>
        <v>848.01</v>
      </c>
      <c r="R28">
        <f t="shared" ref="R28:R37" si="23">ROUND((ROUND((AE28*AV28*I28),2)*BS28),2)</f>
        <v>242.49</v>
      </c>
      <c r="S28">
        <f t="shared" ref="S28:S37" si="24">ROUND((ROUND((AF28*AV28*I28),2)*BA28),2)</f>
        <v>2467.85</v>
      </c>
      <c r="T28">
        <f t="shared" ref="T28:T37" si="25">ROUND(CU28*I28,2)</f>
        <v>0</v>
      </c>
      <c r="U28">
        <f t="shared" ref="U28:U37" si="26">CV28*I28</f>
        <v>7.8791356799999992</v>
      </c>
      <c r="V28">
        <f t="shared" ref="V28:V37" si="27">CW28*I28</f>
        <v>0</v>
      </c>
      <c r="W28">
        <f t="shared" ref="W28:W37" si="28">ROUND(CX28*I28,2)</f>
        <v>0</v>
      </c>
      <c r="X28">
        <f t="shared" ref="X28:X37" si="29">ROUND(CY28,2)</f>
        <v>1900.24</v>
      </c>
      <c r="Y28">
        <f t="shared" ref="Y28:Y37" si="30">ROUND(CZ28,2)</f>
        <v>1011.82</v>
      </c>
      <c r="AA28">
        <v>23645517</v>
      </c>
      <c r="AB28">
        <f t="shared" ref="AB28:AB37" si="31">ROUND((AC28+AD28+AF28),6)</f>
        <v>7107.9440000000004</v>
      </c>
      <c r="AC28">
        <f>ROUND((ES28),6)</f>
        <v>5453</v>
      </c>
      <c r="AD28">
        <f>ROUND(((((ET28*1.2))-((EU28*1.2)))+AE28),6)</f>
        <v>843.22799999999995</v>
      </c>
      <c r="AE28">
        <f>ROUND(((EU28*1.2)),6)</f>
        <v>79.775999999999996</v>
      </c>
      <c r="AF28">
        <f>ROUND(((EV28*1.2)),6)</f>
        <v>811.71600000000001</v>
      </c>
      <c r="AG28">
        <f t="shared" ref="AG28:AG37" si="32">ROUND((AP28),6)</f>
        <v>0</v>
      </c>
      <c r="AH28">
        <f>((EW28*1.2))</f>
        <v>64.319999999999993</v>
      </c>
      <c r="AI28">
        <f>((EX28*1.2))</f>
        <v>0</v>
      </c>
      <c r="AJ28">
        <f t="shared" ref="AJ28:AJ37" si="33">(AS28)</f>
        <v>0</v>
      </c>
      <c r="AK28">
        <v>6832.12</v>
      </c>
      <c r="AL28">
        <v>5453</v>
      </c>
      <c r="AM28">
        <v>702.69</v>
      </c>
      <c r="AN28">
        <v>66.48</v>
      </c>
      <c r="AO28">
        <v>676.43</v>
      </c>
      <c r="AP28">
        <v>0</v>
      </c>
      <c r="AQ28">
        <v>53.6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24.82</v>
      </c>
      <c r="BB28">
        <v>8.2100000000000009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27</v>
      </c>
      <c r="BM28">
        <v>317</v>
      </c>
      <c r="BN28">
        <v>0</v>
      </c>
      <c r="BO28" t="s">
        <v>24</v>
      </c>
      <c r="BP28">
        <v>1</v>
      </c>
      <c r="BQ28">
        <v>40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221</v>
      </c>
      <c r="CO28">
        <v>0</v>
      </c>
      <c r="CP28">
        <f t="shared" ref="CP28:CP37" si="34">(P28+Q28+S28)</f>
        <v>6690.8799999999992</v>
      </c>
      <c r="CQ28">
        <f t="shared" ref="CQ28:CQ37" si="35">ROUND((ROUND((AC28*AW28*1),2)*BC28),2)</f>
        <v>28846.37</v>
      </c>
      <c r="CR28">
        <f>(ROUND((ROUND((((ET28*1.2))*AV28*1),2)*BB28),2)+ROUND((ROUND(((AE28-((EU28*1.2)))*AV28*1),2)*BS28),2))</f>
        <v>7248.28</v>
      </c>
      <c r="CS28">
        <f t="shared" ref="CS28:CS37" si="36">ROUND((ROUND((AE28*AV28*1),2)*BS28),2)</f>
        <v>2073.21</v>
      </c>
      <c r="CT28">
        <f t="shared" ref="CT28:CT37" si="37">ROUND((ROUND((AF28*AV28*1),2)*BA28),2)</f>
        <v>21093.77</v>
      </c>
      <c r="CU28">
        <f t="shared" ref="CU28:CU37" si="38">AG28</f>
        <v>0</v>
      </c>
      <c r="CV28">
        <f t="shared" ref="CV28:CV37" si="39">(AH28*AV28)</f>
        <v>67.343039999999988</v>
      </c>
      <c r="CW28">
        <f t="shared" ref="CW28:CW37" si="40">AI28</f>
        <v>0</v>
      </c>
      <c r="CX28">
        <f t="shared" ref="CX28:CX37" si="41">AJ28</f>
        <v>0</v>
      </c>
      <c r="CY28">
        <f t="shared" ref="CY28:CY37" si="42">S28*(BZ28/100)</f>
        <v>1900.2445</v>
      </c>
      <c r="CZ28">
        <f t="shared" ref="CZ28:CZ37" si="43">S28*(CA28/100)</f>
        <v>1011.8184999999999</v>
      </c>
      <c r="DC28" t="s">
        <v>3</v>
      </c>
      <c r="DD28" t="s">
        <v>3</v>
      </c>
      <c r="DE28" t="s">
        <v>28</v>
      </c>
      <c r="DF28" t="s">
        <v>28</v>
      </c>
      <c r="DG28" t="s">
        <v>28</v>
      </c>
      <c r="DH28" t="s">
        <v>3</v>
      </c>
      <c r="DI28" t="s">
        <v>28</v>
      </c>
      <c r="DJ28" t="s">
        <v>28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1009</v>
      </c>
      <c r="DV28" t="s">
        <v>26</v>
      </c>
      <c r="DW28" t="s">
        <v>26</v>
      </c>
      <c r="DX28">
        <v>1000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29</v>
      </c>
      <c r="EH28">
        <v>0</v>
      </c>
      <c r="EI28" t="s">
        <v>3</v>
      </c>
      <c r="EJ28">
        <v>2</v>
      </c>
      <c r="EK28">
        <v>317</v>
      </c>
      <c r="EL28" t="s">
        <v>30</v>
      </c>
      <c r="EM28" t="s">
        <v>31</v>
      </c>
      <c r="EO28" t="s">
        <v>32</v>
      </c>
      <c r="EQ28">
        <v>0</v>
      </c>
      <c r="ER28">
        <v>6832.12</v>
      </c>
      <c r="ES28">
        <v>5453</v>
      </c>
      <c r="ET28">
        <v>702.69</v>
      </c>
      <c r="EU28">
        <v>66.48</v>
      </c>
      <c r="EV28">
        <v>676.43</v>
      </c>
      <c r="EW28">
        <v>53.6</v>
      </c>
      <c r="EX28">
        <v>0</v>
      </c>
      <c r="EY28">
        <v>0</v>
      </c>
      <c r="FQ28">
        <v>0</v>
      </c>
      <c r="FR28">
        <f t="shared" ref="FR28:FR37" si="44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-2105285767</v>
      </c>
      <c r="GG28">
        <v>2</v>
      </c>
      <c r="GH28">
        <v>1</v>
      </c>
      <c r="GI28">
        <v>2</v>
      </c>
      <c r="GJ28">
        <v>0</v>
      </c>
      <c r="GK28">
        <f>ROUND(R28*(R12)/100,2)</f>
        <v>380.71</v>
      </c>
      <c r="GL28">
        <f t="shared" ref="GL28:GL37" si="45">ROUND(IF(AND(BH28=3,BI28=3,FS28&lt;&gt;0),P28,0),2)</f>
        <v>0</v>
      </c>
      <c r="GM28">
        <f t="shared" ref="GM28:GM37" si="46">ROUND(O28+X28+Y28+GK28,2)+GX28</f>
        <v>9983.65</v>
      </c>
      <c r="GN28">
        <f t="shared" ref="GN28:GN37" si="47">IF(OR(BI28=0,BI28=1),ROUND(O28+X28+Y28+GK28,2),0)</f>
        <v>0</v>
      </c>
      <c r="GO28">
        <f t="shared" ref="GO28:GO37" si="48">IF(BI28=2,ROUND(O28+X28+Y28+GK28,2),0)</f>
        <v>9983.65</v>
      </c>
      <c r="GP28">
        <f t="shared" ref="GP28:GP37" si="49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7" si="50">ROUND((GT28),6)</f>
        <v>0</v>
      </c>
      <c r="GW28">
        <v>1</v>
      </c>
      <c r="GX28">
        <f t="shared" ref="GX28:GX37" si="51">ROUND(HC28*I28,2)</f>
        <v>0</v>
      </c>
      <c r="HA28">
        <v>0</v>
      </c>
      <c r="HB28">
        <v>0</v>
      </c>
      <c r="HC28">
        <f t="shared" ref="HC28:HC37" si="52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33</v>
      </c>
      <c r="F29" t="s">
        <v>34</v>
      </c>
      <c r="G29" t="s">
        <v>35</v>
      </c>
      <c r="H29" t="s">
        <v>36</v>
      </c>
      <c r="I29">
        <v>3</v>
      </c>
      <c r="J29">
        <v>0</v>
      </c>
      <c r="O29">
        <f t="shared" si="21"/>
        <v>9682.49</v>
      </c>
      <c r="P29">
        <f t="shared" si="22"/>
        <v>2432.87</v>
      </c>
      <c r="Q29">
        <f>(ROUND((ROUND((((ET29*1.2))*AV29*I29),2)*BB29),2)+ROUND((ROUND(((AE29-((EU29*1.2)))*AV29*I29),2)*BS29),2))</f>
        <v>2238.96</v>
      </c>
      <c r="R29">
        <f t="shared" si="23"/>
        <v>906.43</v>
      </c>
      <c r="S29">
        <f t="shared" si="24"/>
        <v>5010.66</v>
      </c>
      <c r="T29">
        <f t="shared" si="25"/>
        <v>0</v>
      </c>
      <c r="U29">
        <f t="shared" si="26"/>
        <v>15.529103999999997</v>
      </c>
      <c r="V29">
        <f t="shared" si="27"/>
        <v>0</v>
      </c>
      <c r="W29">
        <f t="shared" si="28"/>
        <v>0</v>
      </c>
      <c r="X29">
        <f t="shared" si="29"/>
        <v>3858.21</v>
      </c>
      <c r="Y29">
        <f t="shared" si="30"/>
        <v>2054.37</v>
      </c>
      <c r="AA29">
        <v>23645517</v>
      </c>
      <c r="AB29">
        <f t="shared" si="31"/>
        <v>302.02800000000002</v>
      </c>
      <c r="AC29">
        <f>ROUND((ES29),6)</f>
        <v>153.30000000000001</v>
      </c>
      <c r="AD29">
        <f>ROUND(((((ET29*1.2))-((EU29*1.2)))+AE29),6)</f>
        <v>84.456000000000003</v>
      </c>
      <c r="AE29">
        <f>ROUND(((EU29*1.2)),6)</f>
        <v>11.628</v>
      </c>
      <c r="AF29">
        <f>ROUND(((EV29*1.2)),6)</f>
        <v>64.272000000000006</v>
      </c>
      <c r="AG29">
        <f t="shared" si="32"/>
        <v>0</v>
      </c>
      <c r="AH29">
        <f>((EW29*1.2))</f>
        <v>4.944</v>
      </c>
      <c r="AI29">
        <f>((EX29*1.2))</f>
        <v>0</v>
      </c>
      <c r="AJ29">
        <f t="shared" si="33"/>
        <v>0</v>
      </c>
      <c r="AK29">
        <v>277.24</v>
      </c>
      <c r="AL29">
        <v>153.30000000000001</v>
      </c>
      <c r="AM29">
        <v>70.38</v>
      </c>
      <c r="AN29">
        <v>9.69</v>
      </c>
      <c r="AO29">
        <v>53.56</v>
      </c>
      <c r="AP29">
        <v>0</v>
      </c>
      <c r="AQ29">
        <v>4.12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24.82</v>
      </c>
      <c r="BB29">
        <v>8.44</v>
      </c>
      <c r="BC29">
        <v>5.29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37</v>
      </c>
      <c r="BM29">
        <v>333</v>
      </c>
      <c r="BN29">
        <v>0</v>
      </c>
      <c r="BO29" t="s">
        <v>34</v>
      </c>
      <c r="BP29">
        <v>1</v>
      </c>
      <c r="BQ29">
        <v>40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221</v>
      </c>
      <c r="CO29">
        <v>0</v>
      </c>
      <c r="CP29">
        <f t="shared" si="34"/>
        <v>9682.49</v>
      </c>
      <c r="CQ29">
        <f t="shared" si="35"/>
        <v>810.96</v>
      </c>
      <c r="CR29">
        <f>(ROUND((ROUND((((ET29*1.2))*AV29*1),2)*BB29),2)+ROUND((ROUND(((AE29-((EU29*1.2)))*AV29*1),2)*BS29),2))</f>
        <v>746.35</v>
      </c>
      <c r="CS29">
        <f t="shared" si="36"/>
        <v>302.06</v>
      </c>
      <c r="CT29">
        <f t="shared" si="37"/>
        <v>1670.14</v>
      </c>
      <c r="CU29">
        <f t="shared" si="38"/>
        <v>0</v>
      </c>
      <c r="CV29">
        <f t="shared" si="39"/>
        <v>5.1763679999999992</v>
      </c>
      <c r="CW29">
        <f t="shared" si="40"/>
        <v>0</v>
      </c>
      <c r="CX29">
        <f t="shared" si="41"/>
        <v>0</v>
      </c>
      <c r="CY29">
        <f t="shared" si="42"/>
        <v>3858.2082</v>
      </c>
      <c r="CZ29">
        <f t="shared" si="43"/>
        <v>2054.3705999999997</v>
      </c>
      <c r="DC29" t="s">
        <v>3</v>
      </c>
      <c r="DD29" t="s">
        <v>3</v>
      </c>
      <c r="DE29" t="s">
        <v>28</v>
      </c>
      <c r="DF29" t="s">
        <v>28</v>
      </c>
      <c r="DG29" t="s">
        <v>28</v>
      </c>
      <c r="DH29" t="s">
        <v>3</v>
      </c>
      <c r="DI29" t="s">
        <v>28</v>
      </c>
      <c r="DJ29" t="s">
        <v>28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36</v>
      </c>
      <c r="DW29" t="s">
        <v>36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22827174</v>
      </c>
      <c r="EF29">
        <v>40</v>
      </c>
      <c r="EG29" t="s">
        <v>29</v>
      </c>
      <c r="EH29">
        <v>0</v>
      </c>
      <c r="EI29" t="s">
        <v>3</v>
      </c>
      <c r="EJ29">
        <v>2</v>
      </c>
      <c r="EK29">
        <v>333</v>
      </c>
      <c r="EL29" t="s">
        <v>38</v>
      </c>
      <c r="EM29" t="s">
        <v>39</v>
      </c>
      <c r="EO29" t="s">
        <v>32</v>
      </c>
      <c r="EQ29">
        <v>0</v>
      </c>
      <c r="ER29">
        <v>277.24</v>
      </c>
      <c r="ES29">
        <v>153.30000000000001</v>
      </c>
      <c r="ET29">
        <v>70.38</v>
      </c>
      <c r="EU29">
        <v>9.69</v>
      </c>
      <c r="EV29">
        <v>53.56</v>
      </c>
      <c r="EW29">
        <v>4.12</v>
      </c>
      <c r="EX29">
        <v>0</v>
      </c>
      <c r="EY29">
        <v>0</v>
      </c>
      <c r="FQ29">
        <v>0</v>
      </c>
      <c r="FR29">
        <f t="shared" si="44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1168495075</v>
      </c>
      <c r="GG29">
        <v>2</v>
      </c>
      <c r="GH29">
        <v>1</v>
      </c>
      <c r="GI29">
        <v>2</v>
      </c>
      <c r="GJ29">
        <v>0</v>
      </c>
      <c r="GK29">
        <f>ROUND(R29*(R12)/100,2)</f>
        <v>1423.1</v>
      </c>
      <c r="GL29">
        <f t="shared" si="45"/>
        <v>0</v>
      </c>
      <c r="GM29">
        <f t="shared" si="46"/>
        <v>17018.169999999998</v>
      </c>
      <c r="GN29">
        <f t="shared" si="47"/>
        <v>0</v>
      </c>
      <c r="GO29">
        <f t="shared" si="48"/>
        <v>17018.169999999998</v>
      </c>
      <c r="GP29">
        <f t="shared" si="49"/>
        <v>0</v>
      </c>
      <c r="GR29">
        <v>0</v>
      </c>
      <c r="GS29">
        <v>0</v>
      </c>
      <c r="GT29">
        <v>0</v>
      </c>
      <c r="GU29" t="s">
        <v>3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40</v>
      </c>
      <c r="F30" t="s">
        <v>34</v>
      </c>
      <c r="G30" t="s">
        <v>41</v>
      </c>
      <c r="H30" t="s">
        <v>36</v>
      </c>
      <c r="I30">
        <v>3</v>
      </c>
      <c r="J30">
        <v>0</v>
      </c>
      <c r="O30">
        <f t="shared" si="21"/>
        <v>3624.81</v>
      </c>
      <c r="P30">
        <f t="shared" si="22"/>
        <v>0</v>
      </c>
      <c r="Q30">
        <f>(ROUND((ROUND(((((ET30*0.5)*1.2))*AV30*I30),2)*BB30),2)+ROUND((ROUND(((AE30-(((EU30*0.5)*1.2)))*AV30*I30),2)*BS30),2))</f>
        <v>1119.48</v>
      </c>
      <c r="R30">
        <f t="shared" si="23"/>
        <v>453.21</v>
      </c>
      <c r="S30">
        <f t="shared" si="24"/>
        <v>2505.33</v>
      </c>
      <c r="T30">
        <f t="shared" si="25"/>
        <v>0</v>
      </c>
      <c r="U30">
        <f t="shared" si="26"/>
        <v>7.7645519999999983</v>
      </c>
      <c r="V30">
        <f t="shared" si="27"/>
        <v>0</v>
      </c>
      <c r="W30">
        <f t="shared" si="28"/>
        <v>0</v>
      </c>
      <c r="X30">
        <f t="shared" si="29"/>
        <v>1929.1</v>
      </c>
      <c r="Y30">
        <f t="shared" si="30"/>
        <v>1027.19</v>
      </c>
      <c r="AA30">
        <v>23645517</v>
      </c>
      <c r="AB30">
        <f t="shared" si="31"/>
        <v>74.364000000000004</v>
      </c>
      <c r="AC30">
        <f>ROUND(((ES30*0)),6)</f>
        <v>0</v>
      </c>
      <c r="AD30">
        <f>ROUND((((((ET30*0.5)*1.2))-(((EU30*0.5)*1.2)))+AE30),6)</f>
        <v>42.228000000000002</v>
      </c>
      <c r="AE30">
        <f>ROUND((((EU30*0.5)*1.2)),6)</f>
        <v>5.8140000000000001</v>
      </c>
      <c r="AF30">
        <f>ROUND((((EV30*0.5)*1.2)),6)</f>
        <v>32.136000000000003</v>
      </c>
      <c r="AG30">
        <f t="shared" si="32"/>
        <v>0</v>
      </c>
      <c r="AH30">
        <f>(((EW30*0.5)*1.2))</f>
        <v>2.472</v>
      </c>
      <c r="AI30">
        <f>(((EX30*0.5)*1.2))</f>
        <v>0</v>
      </c>
      <c r="AJ30">
        <f t="shared" si="33"/>
        <v>0</v>
      </c>
      <c r="AK30">
        <v>277.24</v>
      </c>
      <c r="AL30">
        <v>153.30000000000001</v>
      </c>
      <c r="AM30">
        <v>70.38</v>
      </c>
      <c r="AN30">
        <v>9.69</v>
      </c>
      <c r="AO30">
        <v>53.56</v>
      </c>
      <c r="AP30">
        <v>0</v>
      </c>
      <c r="AQ30">
        <v>4.12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8.44</v>
      </c>
      <c r="BC30">
        <v>5.29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37</v>
      </c>
      <c r="BM30">
        <v>333</v>
      </c>
      <c r="BN30">
        <v>0</v>
      </c>
      <c r="BO30" t="s">
        <v>34</v>
      </c>
      <c r="BP30">
        <v>1</v>
      </c>
      <c r="BQ30">
        <v>40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222</v>
      </c>
      <c r="CO30">
        <v>0</v>
      </c>
      <c r="CP30">
        <f t="shared" si="34"/>
        <v>3624.81</v>
      </c>
      <c r="CQ30">
        <f t="shared" si="35"/>
        <v>0</v>
      </c>
      <c r="CR30">
        <f>(ROUND((ROUND(((((ET30*0.5)*1.2))*AV30*1),2)*BB30),2)+ROUND((ROUND(((AE30-(((EU30*0.5)*1.2)))*AV30*1),2)*BS30),2))</f>
        <v>373.13</v>
      </c>
      <c r="CS30">
        <f t="shared" si="36"/>
        <v>151.15</v>
      </c>
      <c r="CT30">
        <f t="shared" si="37"/>
        <v>835.19</v>
      </c>
      <c r="CU30">
        <f t="shared" si="38"/>
        <v>0</v>
      </c>
      <c r="CV30">
        <f t="shared" si="39"/>
        <v>2.5881839999999996</v>
      </c>
      <c r="CW30">
        <f t="shared" si="40"/>
        <v>0</v>
      </c>
      <c r="CX30">
        <f t="shared" si="41"/>
        <v>0</v>
      </c>
      <c r="CY30">
        <f t="shared" si="42"/>
        <v>1929.1041</v>
      </c>
      <c r="CZ30">
        <f t="shared" si="43"/>
        <v>1027.1852999999999</v>
      </c>
      <c r="DC30" t="s">
        <v>3</v>
      </c>
      <c r="DD30" t="s">
        <v>42</v>
      </c>
      <c r="DE30" t="s">
        <v>43</v>
      </c>
      <c r="DF30" t="s">
        <v>43</v>
      </c>
      <c r="DG30" t="s">
        <v>43</v>
      </c>
      <c r="DH30" t="s">
        <v>3</v>
      </c>
      <c r="DI30" t="s">
        <v>43</v>
      </c>
      <c r="DJ30" t="s">
        <v>43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1010</v>
      </c>
      <c r="DV30" t="s">
        <v>36</v>
      </c>
      <c r="DW30" t="s">
        <v>36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22827174</v>
      </c>
      <c r="EF30">
        <v>40</v>
      </c>
      <c r="EG30" t="s">
        <v>29</v>
      </c>
      <c r="EH30">
        <v>0</v>
      </c>
      <c r="EI30" t="s">
        <v>3</v>
      </c>
      <c r="EJ30">
        <v>2</v>
      </c>
      <c r="EK30">
        <v>333</v>
      </c>
      <c r="EL30" t="s">
        <v>38</v>
      </c>
      <c r="EM30" t="s">
        <v>39</v>
      </c>
      <c r="EO30" t="s">
        <v>44</v>
      </c>
      <c r="EQ30">
        <v>0</v>
      </c>
      <c r="ER30">
        <v>277.24</v>
      </c>
      <c r="ES30">
        <v>153.30000000000001</v>
      </c>
      <c r="ET30">
        <v>70.38</v>
      </c>
      <c r="EU30">
        <v>9.69</v>
      </c>
      <c r="EV30">
        <v>53.56</v>
      </c>
      <c r="EW30">
        <v>4.12</v>
      </c>
      <c r="EX30">
        <v>0</v>
      </c>
      <c r="EY30">
        <v>0</v>
      </c>
      <c r="FQ30">
        <v>0</v>
      </c>
      <c r="FR30">
        <f t="shared" si="44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-1191195900</v>
      </c>
      <c r="GG30">
        <v>2</v>
      </c>
      <c r="GH30">
        <v>1</v>
      </c>
      <c r="GI30">
        <v>2</v>
      </c>
      <c r="GJ30">
        <v>0</v>
      </c>
      <c r="GK30">
        <f>ROUND(R30*(R12)/100,2)</f>
        <v>711.54</v>
      </c>
      <c r="GL30">
        <f t="shared" si="45"/>
        <v>0</v>
      </c>
      <c r="GM30">
        <f t="shared" si="46"/>
        <v>7292.64</v>
      </c>
      <c r="GN30">
        <f t="shared" si="47"/>
        <v>0</v>
      </c>
      <c r="GO30">
        <f t="shared" si="48"/>
        <v>7292.64</v>
      </c>
      <c r="GP30">
        <f t="shared" si="49"/>
        <v>0</v>
      </c>
      <c r="GR30">
        <v>0</v>
      </c>
      <c r="GS30">
        <v>0</v>
      </c>
      <c r="GT30">
        <v>0</v>
      </c>
      <c r="GU30" t="s">
        <v>3</v>
      </c>
      <c r="GV30">
        <f t="shared" si="50"/>
        <v>0</v>
      </c>
      <c r="GW30">
        <v>1</v>
      </c>
      <c r="GX30">
        <f t="shared" si="51"/>
        <v>0</v>
      </c>
      <c r="HA30">
        <v>0</v>
      </c>
      <c r="HB30">
        <v>0</v>
      </c>
      <c r="HC30">
        <f t="shared" si="52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45</v>
      </c>
      <c r="F31" t="s">
        <v>46</v>
      </c>
      <c r="G31" t="s">
        <v>47</v>
      </c>
      <c r="H31" t="s">
        <v>48</v>
      </c>
      <c r="I31">
        <f>ROUND(39/100,9)</f>
        <v>0.39</v>
      </c>
      <c r="J31">
        <v>0</v>
      </c>
      <c r="O31">
        <f t="shared" si="21"/>
        <v>5409.55</v>
      </c>
      <c r="P31">
        <f t="shared" si="22"/>
        <v>374.69</v>
      </c>
      <c r="Q31">
        <f>(ROUND((ROUND((((ET31*1.2))*AV31*I31),2)*BB31),2)+ROUND((ROUND(((AE31-((EU31*1.2)))*AV31*I31),2)*BS31),2))</f>
        <v>3094.18</v>
      </c>
      <c r="R31">
        <f t="shared" si="23"/>
        <v>1964.01</v>
      </c>
      <c r="S31">
        <f t="shared" si="24"/>
        <v>1940.68</v>
      </c>
      <c r="T31">
        <f t="shared" si="25"/>
        <v>0</v>
      </c>
      <c r="U31">
        <f t="shared" si="26"/>
        <v>6.3418211999999992</v>
      </c>
      <c r="V31">
        <f t="shared" si="27"/>
        <v>0</v>
      </c>
      <c r="W31">
        <f t="shared" si="28"/>
        <v>0</v>
      </c>
      <c r="X31">
        <f t="shared" si="29"/>
        <v>1494.32</v>
      </c>
      <c r="Y31">
        <f t="shared" si="30"/>
        <v>795.68</v>
      </c>
      <c r="AA31">
        <v>23645517</v>
      </c>
      <c r="AB31">
        <f t="shared" si="31"/>
        <v>1349.9760000000001</v>
      </c>
      <c r="AC31">
        <f>ROUND((ES31),6)</f>
        <v>168</v>
      </c>
      <c r="AD31">
        <f>ROUND(((((ET31*1.2))-((EU31*1.2)))+AE31),6)</f>
        <v>994.06799999999998</v>
      </c>
      <c r="AE31">
        <f>ROUND(((EU31*1.2)),6)</f>
        <v>190.16399999999999</v>
      </c>
      <c r="AF31">
        <f>ROUND(((EV31*1.2)),6)</f>
        <v>187.90799999999999</v>
      </c>
      <c r="AG31">
        <f t="shared" si="32"/>
        <v>0</v>
      </c>
      <c r="AH31">
        <f>((EW31*1.2))</f>
        <v>15.239999999999998</v>
      </c>
      <c r="AI31">
        <f>((EX31*1.2))</f>
        <v>0</v>
      </c>
      <c r="AJ31">
        <f t="shared" si="33"/>
        <v>0</v>
      </c>
      <c r="AK31">
        <v>1152.98</v>
      </c>
      <c r="AL31">
        <v>168</v>
      </c>
      <c r="AM31">
        <v>828.39</v>
      </c>
      <c r="AN31">
        <v>158.47</v>
      </c>
      <c r="AO31">
        <v>156.59</v>
      </c>
      <c r="AP31">
        <v>0</v>
      </c>
      <c r="AQ31">
        <v>12.7</v>
      </c>
      <c r="AR31">
        <v>0</v>
      </c>
      <c r="AS31">
        <v>0</v>
      </c>
      <c r="AT31">
        <v>77</v>
      </c>
      <c r="AU31">
        <v>41</v>
      </c>
      <c r="AV31">
        <v>1.0669999999999999</v>
      </c>
      <c r="AW31">
        <v>1.081</v>
      </c>
      <c r="AZ31">
        <v>1</v>
      </c>
      <c r="BA31">
        <v>24.82</v>
      </c>
      <c r="BB31">
        <v>7.48</v>
      </c>
      <c r="BC31">
        <v>5.29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49</v>
      </c>
      <c r="BM31">
        <v>318</v>
      </c>
      <c r="BN31">
        <v>0</v>
      </c>
      <c r="BO31" t="s">
        <v>46</v>
      </c>
      <c r="BP31">
        <v>1</v>
      </c>
      <c r="BQ31">
        <v>40</v>
      </c>
      <c r="BR31">
        <v>0</v>
      </c>
      <c r="BS31">
        <v>24.82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221</v>
      </c>
      <c r="CO31">
        <v>0</v>
      </c>
      <c r="CP31">
        <f t="shared" si="34"/>
        <v>5409.55</v>
      </c>
      <c r="CQ31">
        <f t="shared" si="35"/>
        <v>960.72</v>
      </c>
      <c r="CR31">
        <f>(ROUND((ROUND((((ET31*1.2))*AV31*1),2)*BB31),2)+ROUND((ROUND(((AE31-((EU31*1.2)))*AV31*1),2)*BS31),2))</f>
        <v>7933.81</v>
      </c>
      <c r="CS31">
        <f t="shared" si="36"/>
        <v>5035.9799999999996</v>
      </c>
      <c r="CT31">
        <f t="shared" si="37"/>
        <v>4976.41</v>
      </c>
      <c r="CU31">
        <f t="shared" si="38"/>
        <v>0</v>
      </c>
      <c r="CV31">
        <f t="shared" si="39"/>
        <v>16.261079999999996</v>
      </c>
      <c r="CW31">
        <f t="shared" si="40"/>
        <v>0</v>
      </c>
      <c r="CX31">
        <f t="shared" si="41"/>
        <v>0</v>
      </c>
      <c r="CY31">
        <f t="shared" si="42"/>
        <v>1494.3236000000002</v>
      </c>
      <c r="CZ31">
        <f t="shared" si="43"/>
        <v>795.67880000000002</v>
      </c>
      <c r="DC31" t="s">
        <v>3</v>
      </c>
      <c r="DD31" t="s">
        <v>3</v>
      </c>
      <c r="DE31" t="s">
        <v>28</v>
      </c>
      <c r="DF31" t="s">
        <v>28</v>
      </c>
      <c r="DG31" t="s">
        <v>28</v>
      </c>
      <c r="DH31" t="s">
        <v>3</v>
      </c>
      <c r="DI31" t="s">
        <v>28</v>
      </c>
      <c r="DJ31" t="s">
        <v>28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1.0669999999999999</v>
      </c>
      <c r="DQ31">
        <v>1.081</v>
      </c>
      <c r="DU31">
        <v>1003</v>
      </c>
      <c r="DV31" t="s">
        <v>48</v>
      </c>
      <c r="DW31" t="s">
        <v>48</v>
      </c>
      <c r="DX31">
        <v>100</v>
      </c>
      <c r="DZ31" t="s">
        <v>3</v>
      </c>
      <c r="EA31" t="s">
        <v>3</v>
      </c>
      <c r="EB31" t="s">
        <v>3</v>
      </c>
      <c r="EC31" t="s">
        <v>3</v>
      </c>
      <c r="EE31">
        <v>22827159</v>
      </c>
      <c r="EF31">
        <v>40</v>
      </c>
      <c r="EG31" t="s">
        <v>29</v>
      </c>
      <c r="EH31">
        <v>0</v>
      </c>
      <c r="EI31" t="s">
        <v>3</v>
      </c>
      <c r="EJ31">
        <v>2</v>
      </c>
      <c r="EK31">
        <v>318</v>
      </c>
      <c r="EL31" t="s">
        <v>50</v>
      </c>
      <c r="EM31" t="s">
        <v>51</v>
      </c>
      <c r="EO31" t="s">
        <v>32</v>
      </c>
      <c r="EQ31">
        <v>0</v>
      </c>
      <c r="ER31">
        <v>1152.98</v>
      </c>
      <c r="ES31">
        <v>168</v>
      </c>
      <c r="ET31">
        <v>828.39</v>
      </c>
      <c r="EU31">
        <v>158.47</v>
      </c>
      <c r="EV31">
        <v>156.59</v>
      </c>
      <c r="EW31">
        <v>12.7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2039453883</v>
      </c>
      <c r="GG31">
        <v>2</v>
      </c>
      <c r="GH31">
        <v>1</v>
      </c>
      <c r="GI31">
        <v>2</v>
      </c>
      <c r="GJ31">
        <v>0</v>
      </c>
      <c r="GK31">
        <f>ROUND(R31*(R12)/100,2)</f>
        <v>3083.5</v>
      </c>
      <c r="GL31">
        <f t="shared" si="45"/>
        <v>0</v>
      </c>
      <c r="GM31">
        <f t="shared" si="46"/>
        <v>10783.05</v>
      </c>
      <c r="GN31">
        <f t="shared" si="47"/>
        <v>0</v>
      </c>
      <c r="GO31">
        <f t="shared" si="48"/>
        <v>10783.05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52</v>
      </c>
      <c r="F32" t="s">
        <v>53</v>
      </c>
      <c r="G32" t="s">
        <v>54</v>
      </c>
      <c r="H32" t="s">
        <v>48</v>
      </c>
      <c r="I32">
        <f>ROUND(27/100,9)</f>
        <v>0.27</v>
      </c>
      <c r="J32">
        <v>0</v>
      </c>
      <c r="O32">
        <f t="shared" si="21"/>
        <v>2630.43</v>
      </c>
      <c r="P32">
        <f t="shared" si="22"/>
        <v>42.06</v>
      </c>
      <c r="Q32">
        <f>(ROUND((ROUND((((ET32*1.2))*AV32*I32),2)*BB32),2)+ROUND((ROUND(((AE32-((EU32*1.2)))*AV32*I32),2)*BS32),2))</f>
        <v>884.97</v>
      </c>
      <c r="R32">
        <f t="shared" si="23"/>
        <v>644.33000000000004</v>
      </c>
      <c r="S32">
        <f t="shared" si="24"/>
        <v>1703.4</v>
      </c>
      <c r="T32">
        <f t="shared" si="25"/>
        <v>0</v>
      </c>
      <c r="U32">
        <f t="shared" si="26"/>
        <v>5.5658988000000003</v>
      </c>
      <c r="V32">
        <f t="shared" si="27"/>
        <v>0</v>
      </c>
      <c r="W32">
        <f t="shared" si="28"/>
        <v>0</v>
      </c>
      <c r="X32">
        <f t="shared" si="29"/>
        <v>1311.62</v>
      </c>
      <c r="Y32">
        <f t="shared" si="30"/>
        <v>698.39</v>
      </c>
      <c r="AA32">
        <v>23645517</v>
      </c>
      <c r="AB32">
        <f t="shared" si="31"/>
        <v>821.91800000000001</v>
      </c>
      <c r="AC32">
        <f>ROUND((ES32),6)</f>
        <v>27.23</v>
      </c>
      <c r="AD32">
        <f>ROUND(((((ET32*1.2))-((EU32*1.2)))+AE32),6)</f>
        <v>556.476</v>
      </c>
      <c r="AE32">
        <f>ROUND(((EU32*1.2)),6)</f>
        <v>90.096000000000004</v>
      </c>
      <c r="AF32">
        <f>ROUND(((EV32*1.2)),6)</f>
        <v>238.21199999999999</v>
      </c>
      <c r="AG32">
        <f t="shared" si="32"/>
        <v>0</v>
      </c>
      <c r="AH32">
        <f>((EW32*1.2))</f>
        <v>19.32</v>
      </c>
      <c r="AI32">
        <f>((EX32*1.2))</f>
        <v>0</v>
      </c>
      <c r="AJ32">
        <f t="shared" si="33"/>
        <v>0</v>
      </c>
      <c r="AK32">
        <v>689.47</v>
      </c>
      <c r="AL32">
        <v>27.23</v>
      </c>
      <c r="AM32">
        <v>463.73</v>
      </c>
      <c r="AN32">
        <v>75.08</v>
      </c>
      <c r="AO32">
        <v>198.51</v>
      </c>
      <c r="AP32">
        <v>0</v>
      </c>
      <c r="AQ32">
        <v>16.100000000000001</v>
      </c>
      <c r="AR32">
        <v>0</v>
      </c>
      <c r="AS32">
        <v>0</v>
      </c>
      <c r="AT32">
        <v>77</v>
      </c>
      <c r="AU32">
        <v>41</v>
      </c>
      <c r="AV32">
        <v>1.0669999999999999</v>
      </c>
      <c r="AW32">
        <v>1.081</v>
      </c>
      <c r="AZ32">
        <v>1</v>
      </c>
      <c r="BA32">
        <v>24.82</v>
      </c>
      <c r="BB32">
        <v>5.52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55</v>
      </c>
      <c r="BM32">
        <v>318</v>
      </c>
      <c r="BN32">
        <v>0</v>
      </c>
      <c r="BO32" t="s">
        <v>53</v>
      </c>
      <c r="BP32">
        <v>1</v>
      </c>
      <c r="BQ32">
        <v>40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221</v>
      </c>
      <c r="CO32">
        <v>0</v>
      </c>
      <c r="CP32">
        <f t="shared" si="34"/>
        <v>2630.4300000000003</v>
      </c>
      <c r="CQ32">
        <f t="shared" si="35"/>
        <v>155.74</v>
      </c>
      <c r="CR32">
        <f>(ROUND((ROUND((((ET32*1.2))*AV32*1),2)*BB32),2)+ROUND((ROUND(((AE32-((EU32*1.2)))*AV32*1),2)*BS32),2))</f>
        <v>3277.56</v>
      </c>
      <c r="CS32">
        <f t="shared" si="36"/>
        <v>2385.9499999999998</v>
      </c>
      <c r="CT32">
        <f t="shared" si="37"/>
        <v>6308.5</v>
      </c>
      <c r="CU32">
        <f t="shared" si="38"/>
        <v>0</v>
      </c>
      <c r="CV32">
        <f t="shared" si="39"/>
        <v>20.614439999999998</v>
      </c>
      <c r="CW32">
        <f t="shared" si="40"/>
        <v>0</v>
      </c>
      <c r="CX32">
        <f t="shared" si="41"/>
        <v>0</v>
      </c>
      <c r="CY32">
        <f t="shared" si="42"/>
        <v>1311.6180000000002</v>
      </c>
      <c r="CZ32">
        <f t="shared" si="43"/>
        <v>698.39400000000001</v>
      </c>
      <c r="DC32" t="s">
        <v>3</v>
      </c>
      <c r="DD32" t="s">
        <v>3</v>
      </c>
      <c r="DE32" t="s">
        <v>28</v>
      </c>
      <c r="DF32" t="s">
        <v>28</v>
      </c>
      <c r="DG32" t="s">
        <v>28</v>
      </c>
      <c r="DH32" t="s">
        <v>3</v>
      </c>
      <c r="DI32" t="s">
        <v>28</v>
      </c>
      <c r="DJ32" t="s">
        <v>28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1.0669999999999999</v>
      </c>
      <c r="DQ32">
        <v>1.081</v>
      </c>
      <c r="DU32">
        <v>1003</v>
      </c>
      <c r="DV32" t="s">
        <v>48</v>
      </c>
      <c r="DW32" t="s">
        <v>48</v>
      </c>
      <c r="DX32">
        <v>100</v>
      </c>
      <c r="DZ32" t="s">
        <v>3</v>
      </c>
      <c r="EA32" t="s">
        <v>3</v>
      </c>
      <c r="EB32" t="s">
        <v>3</v>
      </c>
      <c r="EC32" t="s">
        <v>3</v>
      </c>
      <c r="EE32">
        <v>22827159</v>
      </c>
      <c r="EF32">
        <v>40</v>
      </c>
      <c r="EG32" t="s">
        <v>29</v>
      </c>
      <c r="EH32">
        <v>0</v>
      </c>
      <c r="EI32" t="s">
        <v>3</v>
      </c>
      <c r="EJ32">
        <v>2</v>
      </c>
      <c r="EK32">
        <v>318</v>
      </c>
      <c r="EL32" t="s">
        <v>50</v>
      </c>
      <c r="EM32" t="s">
        <v>51</v>
      </c>
      <c r="EO32" t="s">
        <v>32</v>
      </c>
      <c r="EQ32">
        <v>0</v>
      </c>
      <c r="ER32">
        <v>689.47</v>
      </c>
      <c r="ES32">
        <v>27.23</v>
      </c>
      <c r="ET32">
        <v>463.73</v>
      </c>
      <c r="EU32">
        <v>75.08</v>
      </c>
      <c r="EV32">
        <v>198.51</v>
      </c>
      <c r="EW32">
        <v>16.100000000000001</v>
      </c>
      <c r="EX32">
        <v>0</v>
      </c>
      <c r="EY32">
        <v>0</v>
      </c>
      <c r="FQ32">
        <v>0</v>
      </c>
      <c r="FR32">
        <f t="shared" si="44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-1964763901</v>
      </c>
      <c r="GG32">
        <v>2</v>
      </c>
      <c r="GH32">
        <v>1</v>
      </c>
      <c r="GI32">
        <v>2</v>
      </c>
      <c r="GJ32">
        <v>0</v>
      </c>
      <c r="GK32">
        <f>ROUND(R32*(R12)/100,2)</f>
        <v>1011.6</v>
      </c>
      <c r="GL32">
        <f t="shared" si="45"/>
        <v>0</v>
      </c>
      <c r="GM32">
        <f t="shared" si="46"/>
        <v>5652.04</v>
      </c>
      <c r="GN32">
        <f t="shared" si="47"/>
        <v>0</v>
      </c>
      <c r="GO32">
        <f t="shared" si="48"/>
        <v>5652.04</v>
      </c>
      <c r="GP32">
        <f t="shared" si="49"/>
        <v>0</v>
      </c>
      <c r="GR32">
        <v>0</v>
      </c>
      <c r="GS32">
        <v>0</v>
      </c>
      <c r="GT32">
        <v>0</v>
      </c>
      <c r="GU32" t="s">
        <v>3</v>
      </c>
      <c r="GV32">
        <f t="shared" si="50"/>
        <v>0</v>
      </c>
      <c r="GW32">
        <v>1</v>
      </c>
      <c r="GX32">
        <f t="shared" si="51"/>
        <v>0</v>
      </c>
      <c r="HA32">
        <v>0</v>
      </c>
      <c r="HB32">
        <v>0</v>
      </c>
      <c r="HC32">
        <f t="shared" si="52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56</v>
      </c>
      <c r="F33" t="s">
        <v>53</v>
      </c>
      <c r="G33" t="s">
        <v>57</v>
      </c>
      <c r="H33" t="s">
        <v>48</v>
      </c>
      <c r="I33">
        <f>ROUND(27/100,9)</f>
        <v>0.27</v>
      </c>
      <c r="J33">
        <v>0</v>
      </c>
      <c r="O33">
        <f t="shared" si="21"/>
        <v>776.5</v>
      </c>
      <c r="P33">
        <f t="shared" si="22"/>
        <v>0</v>
      </c>
      <c r="Q33">
        <f>(ROUND((ROUND(((((ET33*1.2)*0.3))*AV33*I33),2)*BB33),2)+ROUND((ROUND(((AE33-(((EU33*1.2)*0.3)))*AV33*I33),2)*BS33),2))</f>
        <v>265.45999999999998</v>
      </c>
      <c r="R33">
        <f t="shared" si="23"/>
        <v>193.35</v>
      </c>
      <c r="S33">
        <f t="shared" si="24"/>
        <v>511.04</v>
      </c>
      <c r="T33">
        <f t="shared" si="25"/>
        <v>0</v>
      </c>
      <c r="U33">
        <f t="shared" si="26"/>
        <v>1.6697696400000002</v>
      </c>
      <c r="V33">
        <f t="shared" si="27"/>
        <v>0</v>
      </c>
      <c r="W33">
        <f t="shared" si="28"/>
        <v>0</v>
      </c>
      <c r="X33">
        <f t="shared" si="29"/>
        <v>393.5</v>
      </c>
      <c r="Y33">
        <f t="shared" si="30"/>
        <v>209.53</v>
      </c>
      <c r="AA33">
        <v>23645517</v>
      </c>
      <c r="AB33">
        <f t="shared" si="31"/>
        <v>238.40639999999999</v>
      </c>
      <c r="AC33">
        <f>ROUND(((ES33*0)),6)</f>
        <v>0</v>
      </c>
      <c r="AD33">
        <f>ROUND((((((ET33*1.2)*0.3))-(((EU33*1.2)*0.3)))+AE33),6)</f>
        <v>166.94280000000001</v>
      </c>
      <c r="AE33">
        <f>ROUND((((EU33*1.2)*0.3)),6)</f>
        <v>27.0288</v>
      </c>
      <c r="AF33">
        <f>ROUND((((EV33*1.2)*0.3)),6)</f>
        <v>71.4636</v>
      </c>
      <c r="AG33">
        <f t="shared" si="32"/>
        <v>0</v>
      </c>
      <c r="AH33">
        <f>(((EW33*1.2)*0.3))</f>
        <v>5.7960000000000003</v>
      </c>
      <c r="AI33">
        <f>(((EX33*1.2)*0.3))</f>
        <v>0</v>
      </c>
      <c r="AJ33">
        <f t="shared" si="33"/>
        <v>0</v>
      </c>
      <c r="AK33">
        <v>689.47</v>
      </c>
      <c r="AL33">
        <v>27.23</v>
      </c>
      <c r="AM33">
        <v>463.73</v>
      </c>
      <c r="AN33">
        <v>75.08</v>
      </c>
      <c r="AO33">
        <v>198.51</v>
      </c>
      <c r="AP33">
        <v>0</v>
      </c>
      <c r="AQ33">
        <v>16.100000000000001</v>
      </c>
      <c r="AR33">
        <v>0</v>
      </c>
      <c r="AS33">
        <v>0</v>
      </c>
      <c r="AT33">
        <v>77</v>
      </c>
      <c r="AU33">
        <v>41</v>
      </c>
      <c r="AV33">
        <v>1.0669999999999999</v>
      </c>
      <c r="AW33">
        <v>1.081</v>
      </c>
      <c r="AZ33">
        <v>1</v>
      </c>
      <c r="BA33">
        <v>24.82</v>
      </c>
      <c r="BB33">
        <v>5.52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55</v>
      </c>
      <c r="BM33">
        <v>318</v>
      </c>
      <c r="BN33">
        <v>0</v>
      </c>
      <c r="BO33" t="s">
        <v>53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223</v>
      </c>
      <c r="CO33">
        <v>0</v>
      </c>
      <c r="CP33">
        <f t="shared" si="34"/>
        <v>776.5</v>
      </c>
      <c r="CQ33">
        <f t="shared" si="35"/>
        <v>0</v>
      </c>
      <c r="CR33">
        <f>(ROUND((ROUND(((((ET33*1.2)*0.3))*AV33*1),2)*BB33),2)+ROUND((ROUND(((AE33-(((EU33*1.2)*0.3)))*AV33*1),2)*BS33),2))</f>
        <v>983.28</v>
      </c>
      <c r="CS33">
        <f t="shared" si="36"/>
        <v>715.81</v>
      </c>
      <c r="CT33">
        <f t="shared" si="37"/>
        <v>1892.53</v>
      </c>
      <c r="CU33">
        <f t="shared" si="38"/>
        <v>0</v>
      </c>
      <c r="CV33">
        <f t="shared" si="39"/>
        <v>6.1843320000000004</v>
      </c>
      <c r="CW33">
        <f t="shared" si="40"/>
        <v>0</v>
      </c>
      <c r="CX33">
        <f t="shared" si="41"/>
        <v>0</v>
      </c>
      <c r="CY33">
        <f t="shared" si="42"/>
        <v>393.50080000000003</v>
      </c>
      <c r="CZ33">
        <f t="shared" si="43"/>
        <v>209.5264</v>
      </c>
      <c r="DC33" t="s">
        <v>3</v>
      </c>
      <c r="DD33" t="s">
        <v>42</v>
      </c>
      <c r="DE33" t="s">
        <v>58</v>
      </c>
      <c r="DF33" t="s">
        <v>58</v>
      </c>
      <c r="DG33" t="s">
        <v>58</v>
      </c>
      <c r="DH33" t="s">
        <v>3</v>
      </c>
      <c r="DI33" t="s">
        <v>58</v>
      </c>
      <c r="DJ33" t="s">
        <v>58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1.0669999999999999</v>
      </c>
      <c r="DQ33">
        <v>1.081</v>
      </c>
      <c r="DU33">
        <v>1003</v>
      </c>
      <c r="DV33" t="s">
        <v>48</v>
      </c>
      <c r="DW33" t="s">
        <v>48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22827159</v>
      </c>
      <c r="EF33">
        <v>40</v>
      </c>
      <c r="EG33" t="s">
        <v>29</v>
      </c>
      <c r="EH33">
        <v>0</v>
      </c>
      <c r="EI33" t="s">
        <v>3</v>
      </c>
      <c r="EJ33">
        <v>2</v>
      </c>
      <c r="EK33">
        <v>318</v>
      </c>
      <c r="EL33" t="s">
        <v>50</v>
      </c>
      <c r="EM33" t="s">
        <v>51</v>
      </c>
      <c r="EO33" t="s">
        <v>59</v>
      </c>
      <c r="EQ33">
        <v>0</v>
      </c>
      <c r="ER33">
        <v>689.47</v>
      </c>
      <c r="ES33">
        <v>27.23</v>
      </c>
      <c r="ET33">
        <v>463.73</v>
      </c>
      <c r="EU33">
        <v>75.08</v>
      </c>
      <c r="EV33">
        <v>198.51</v>
      </c>
      <c r="EW33">
        <v>16.100000000000001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1374399018</v>
      </c>
      <c r="GG33">
        <v>2</v>
      </c>
      <c r="GH33">
        <v>1</v>
      </c>
      <c r="GI33">
        <v>2</v>
      </c>
      <c r="GJ33">
        <v>0</v>
      </c>
      <c r="GK33">
        <f>ROUND(R33*(R12)/100,2)</f>
        <v>303.56</v>
      </c>
      <c r="GL33">
        <f t="shared" si="45"/>
        <v>0</v>
      </c>
      <c r="GM33">
        <f t="shared" si="46"/>
        <v>1683.09</v>
      </c>
      <c r="GN33">
        <f t="shared" si="47"/>
        <v>0</v>
      </c>
      <c r="GO33">
        <f t="shared" si="48"/>
        <v>1683.09</v>
      </c>
      <c r="GP33">
        <f t="shared" si="49"/>
        <v>0</v>
      </c>
      <c r="GR33">
        <v>0</v>
      </c>
      <c r="GS33">
        <v>0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HE33" t="s">
        <v>3</v>
      </c>
      <c r="HF33" t="s">
        <v>3</v>
      </c>
      <c r="IK33">
        <v>0</v>
      </c>
    </row>
    <row r="34" spans="1:245" x14ac:dyDescent="0.2">
      <c r="A34">
        <v>17</v>
      </c>
      <c r="B34">
        <v>1</v>
      </c>
      <c r="C34">
        <f>ROW(SmtRes!A1)</f>
        <v>1</v>
      </c>
      <c r="D34">
        <f>ROW(EtalonRes!A1)</f>
        <v>1</v>
      </c>
      <c r="E34" t="s">
        <v>60</v>
      </c>
      <c r="F34" t="s">
        <v>61</v>
      </c>
      <c r="G34" t="s">
        <v>62</v>
      </c>
      <c r="H34" t="s">
        <v>36</v>
      </c>
      <c r="I34">
        <v>10</v>
      </c>
      <c r="J34">
        <v>0</v>
      </c>
      <c r="O34">
        <f t="shared" si="21"/>
        <v>10353.43</v>
      </c>
      <c r="P34">
        <f t="shared" si="22"/>
        <v>601.48</v>
      </c>
      <c r="Q34">
        <f>(ROUND((ROUND(((ET34)*AV34*I34),2)*BB34),2)+ROUND((ROUND(((AE34-(EU34))*AV34*I34),2)*BS34),2))</f>
        <v>98.96</v>
      </c>
      <c r="R34">
        <f t="shared" si="23"/>
        <v>44.92</v>
      </c>
      <c r="S34">
        <f t="shared" si="24"/>
        <v>9652.99</v>
      </c>
      <c r="T34">
        <f t="shared" si="25"/>
        <v>0</v>
      </c>
      <c r="U34">
        <f t="shared" si="26"/>
        <v>26.781699999999997</v>
      </c>
      <c r="V34">
        <f t="shared" si="27"/>
        <v>0</v>
      </c>
      <c r="W34">
        <f t="shared" si="28"/>
        <v>0</v>
      </c>
      <c r="X34">
        <f t="shared" si="29"/>
        <v>7432.8</v>
      </c>
      <c r="Y34">
        <f t="shared" si="30"/>
        <v>3957.73</v>
      </c>
      <c r="AA34">
        <v>23645517</v>
      </c>
      <c r="AB34">
        <f t="shared" si="31"/>
        <v>45.16</v>
      </c>
      <c r="AC34">
        <f>ROUND((ES34),6)</f>
        <v>7.53</v>
      </c>
      <c r="AD34">
        <f>ROUND((((ET34)-(EU34))+AE34),6)</f>
        <v>1.18</v>
      </c>
      <c r="AE34">
        <f>ROUND((EU34),6)</f>
        <v>0.17</v>
      </c>
      <c r="AF34">
        <f>ROUND((EV34),6)</f>
        <v>36.450000000000003</v>
      </c>
      <c r="AG34">
        <f t="shared" si="32"/>
        <v>0</v>
      </c>
      <c r="AH34">
        <f>(EW34)</f>
        <v>2.5099999999999998</v>
      </c>
      <c r="AI34">
        <f>(EX34)</f>
        <v>0</v>
      </c>
      <c r="AJ34">
        <f t="shared" si="33"/>
        <v>0</v>
      </c>
      <c r="AK34">
        <v>45.16</v>
      </c>
      <c r="AL34">
        <v>7.53</v>
      </c>
      <c r="AM34">
        <v>1.18</v>
      </c>
      <c r="AN34">
        <v>0.17</v>
      </c>
      <c r="AO34">
        <v>36.450000000000003</v>
      </c>
      <c r="AP34">
        <v>0</v>
      </c>
      <c r="AQ34">
        <v>2.5099999999999998</v>
      </c>
      <c r="AR34">
        <v>0</v>
      </c>
      <c r="AS34">
        <v>0</v>
      </c>
      <c r="AT34">
        <v>77</v>
      </c>
      <c r="AU34">
        <v>41</v>
      </c>
      <c r="AV34">
        <v>1.0669999999999999</v>
      </c>
      <c r="AW34">
        <v>1.028</v>
      </c>
      <c r="AZ34">
        <v>1</v>
      </c>
      <c r="BA34">
        <v>24.82</v>
      </c>
      <c r="BB34">
        <v>7.86</v>
      </c>
      <c r="BC34">
        <v>7.77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63</v>
      </c>
      <c r="BM34">
        <v>1608</v>
      </c>
      <c r="BN34">
        <v>0</v>
      </c>
      <c r="BO34" t="s">
        <v>61</v>
      </c>
      <c r="BP34">
        <v>1</v>
      </c>
      <c r="BQ34">
        <v>40</v>
      </c>
      <c r="BR34">
        <v>0</v>
      </c>
      <c r="BS34">
        <v>24.82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77</v>
      </c>
      <c r="CA34">
        <v>41</v>
      </c>
      <c r="CE34">
        <v>30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4"/>
        <v>10353.43</v>
      </c>
      <c r="CQ34">
        <f t="shared" si="35"/>
        <v>60.14</v>
      </c>
      <c r="CR34">
        <f>(ROUND((ROUND(((ET34)*AV34*1),2)*BB34),2)+ROUND((ROUND(((AE34-(EU34))*AV34*1),2)*BS34),2))</f>
        <v>9.9</v>
      </c>
      <c r="CS34">
        <f t="shared" si="36"/>
        <v>4.47</v>
      </c>
      <c r="CT34">
        <f t="shared" si="37"/>
        <v>965.25</v>
      </c>
      <c r="CU34">
        <f t="shared" si="38"/>
        <v>0</v>
      </c>
      <c r="CV34">
        <f t="shared" si="39"/>
        <v>2.6781699999999997</v>
      </c>
      <c r="CW34">
        <f t="shared" si="40"/>
        <v>0</v>
      </c>
      <c r="CX34">
        <f t="shared" si="41"/>
        <v>0</v>
      </c>
      <c r="CY34">
        <f t="shared" si="42"/>
        <v>7432.8023000000003</v>
      </c>
      <c r="CZ34">
        <f t="shared" si="43"/>
        <v>3957.7258999999995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114</v>
      </c>
      <c r="DO34">
        <v>67</v>
      </c>
      <c r="DP34">
        <v>1.0669999999999999</v>
      </c>
      <c r="DQ34">
        <v>1.081</v>
      </c>
      <c r="DU34">
        <v>1010</v>
      </c>
      <c r="DV34" t="s">
        <v>36</v>
      </c>
      <c r="DW34" t="s">
        <v>36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22828449</v>
      </c>
      <c r="EF34">
        <v>40</v>
      </c>
      <c r="EG34" t="s">
        <v>29</v>
      </c>
      <c r="EH34">
        <v>0</v>
      </c>
      <c r="EI34" t="s">
        <v>3</v>
      </c>
      <c r="EJ34">
        <v>2</v>
      </c>
      <c r="EK34">
        <v>1608</v>
      </c>
      <c r="EL34" t="s">
        <v>64</v>
      </c>
      <c r="EM34" t="s">
        <v>65</v>
      </c>
      <c r="EO34" t="s">
        <v>3</v>
      </c>
      <c r="EQ34">
        <v>0</v>
      </c>
      <c r="ER34">
        <v>45.16</v>
      </c>
      <c r="ES34">
        <v>7.53</v>
      </c>
      <c r="ET34">
        <v>1.18</v>
      </c>
      <c r="EU34">
        <v>0.17</v>
      </c>
      <c r="EV34">
        <v>36.450000000000003</v>
      </c>
      <c r="EW34">
        <v>2.5099999999999998</v>
      </c>
      <c r="EX34">
        <v>0</v>
      </c>
      <c r="EY34">
        <v>0</v>
      </c>
      <c r="FQ34">
        <v>0</v>
      </c>
      <c r="FR34">
        <f t="shared" si="44"/>
        <v>0</v>
      </c>
      <c r="FS34">
        <v>0</v>
      </c>
      <c r="FX34">
        <v>114</v>
      </c>
      <c r="FY34">
        <v>67</v>
      </c>
      <c r="GA34" t="s">
        <v>3</v>
      </c>
      <c r="GD34">
        <v>0</v>
      </c>
      <c r="GF34">
        <v>-2146324824</v>
      </c>
      <c r="GG34">
        <v>2</v>
      </c>
      <c r="GH34">
        <v>1</v>
      </c>
      <c r="GI34">
        <v>2</v>
      </c>
      <c r="GJ34">
        <v>0</v>
      </c>
      <c r="GK34">
        <f>ROUND(R34*(R12)/100,2)</f>
        <v>70.52</v>
      </c>
      <c r="GL34">
        <f t="shared" si="45"/>
        <v>0</v>
      </c>
      <c r="GM34">
        <f t="shared" si="46"/>
        <v>21814.48</v>
      </c>
      <c r="GN34">
        <f t="shared" si="47"/>
        <v>0</v>
      </c>
      <c r="GO34">
        <f t="shared" si="48"/>
        <v>21814.48</v>
      </c>
      <c r="GP34">
        <f t="shared" si="49"/>
        <v>0</v>
      </c>
      <c r="GR34">
        <v>0</v>
      </c>
      <c r="GS34">
        <v>3</v>
      </c>
      <c r="GT34">
        <v>0</v>
      </c>
      <c r="GU34" t="s">
        <v>3</v>
      </c>
      <c r="GV34">
        <f t="shared" si="50"/>
        <v>0</v>
      </c>
      <c r="GW34">
        <v>1</v>
      </c>
      <c r="GX34">
        <f t="shared" si="51"/>
        <v>0</v>
      </c>
      <c r="HA34">
        <v>0</v>
      </c>
      <c r="HB34">
        <v>0</v>
      </c>
      <c r="HC34">
        <f t="shared" si="52"/>
        <v>0</v>
      </c>
      <c r="HE34" t="s">
        <v>3</v>
      </c>
      <c r="HF34" t="s">
        <v>3</v>
      </c>
      <c r="IK34">
        <v>0</v>
      </c>
    </row>
    <row r="35" spans="1:245" x14ac:dyDescent="0.2">
      <c r="A35">
        <v>17</v>
      </c>
      <c r="B35">
        <v>1</v>
      </c>
      <c r="E35" t="s">
        <v>66</v>
      </c>
      <c r="F35" t="s">
        <v>67</v>
      </c>
      <c r="G35" t="s">
        <v>68</v>
      </c>
      <c r="H35" t="s">
        <v>48</v>
      </c>
      <c r="I35">
        <f>ROUND(9/100,9)</f>
        <v>0.09</v>
      </c>
      <c r="J35">
        <v>0</v>
      </c>
      <c r="O35">
        <f t="shared" si="21"/>
        <v>2326.81</v>
      </c>
      <c r="P35">
        <f t="shared" si="22"/>
        <v>38.6</v>
      </c>
      <c r="Q35">
        <f>(ROUND((ROUND((((ET35*1.2))*AV35*I35),2)*BB35),2)+ROUND((ROUND(((AE35-((EU35*1.2)))*AV35*I35),2)*BS35),2))</f>
        <v>587.95000000000005</v>
      </c>
      <c r="R35">
        <f t="shared" si="23"/>
        <v>294.23</v>
      </c>
      <c r="S35">
        <f t="shared" si="24"/>
        <v>1700.26</v>
      </c>
      <c r="T35">
        <f t="shared" si="25"/>
        <v>0</v>
      </c>
      <c r="U35">
        <f t="shared" si="26"/>
        <v>6.2870255999999998</v>
      </c>
      <c r="V35">
        <f t="shared" si="27"/>
        <v>0</v>
      </c>
      <c r="W35">
        <f t="shared" si="28"/>
        <v>0</v>
      </c>
      <c r="X35">
        <f t="shared" si="29"/>
        <v>1309.2</v>
      </c>
      <c r="Y35">
        <f t="shared" si="30"/>
        <v>697.11</v>
      </c>
      <c r="AA35">
        <v>23645517</v>
      </c>
      <c r="AB35">
        <f t="shared" si="31"/>
        <v>1550.96</v>
      </c>
      <c r="AC35">
        <f>ROUND((ES35),6)</f>
        <v>81.2</v>
      </c>
      <c r="AD35">
        <f>ROUND(((((ET35*1.2))-((EU35*1.2)))+AE35),6)</f>
        <v>627.75599999999997</v>
      </c>
      <c r="AE35">
        <f t="shared" ref="AE35:AF37" si="53">ROUND(((EU35*1.2)),6)</f>
        <v>145.65600000000001</v>
      </c>
      <c r="AF35">
        <f t="shared" si="53"/>
        <v>842.00400000000002</v>
      </c>
      <c r="AG35">
        <f t="shared" si="32"/>
        <v>0</v>
      </c>
      <c r="AH35">
        <f t="shared" ref="AH35:AI37" si="54">((EW35*1.2))</f>
        <v>66.72</v>
      </c>
      <c r="AI35">
        <f t="shared" si="54"/>
        <v>0</v>
      </c>
      <c r="AJ35">
        <f t="shared" si="33"/>
        <v>0</v>
      </c>
      <c r="AK35">
        <v>1306</v>
      </c>
      <c r="AL35">
        <v>81.2</v>
      </c>
      <c r="AM35">
        <v>523.13</v>
      </c>
      <c r="AN35">
        <v>121.38</v>
      </c>
      <c r="AO35">
        <v>701.67</v>
      </c>
      <c r="AP35">
        <v>0</v>
      </c>
      <c r="AQ35">
        <v>55.6</v>
      </c>
      <c r="AR35">
        <v>0</v>
      </c>
      <c r="AS35">
        <v>0</v>
      </c>
      <c r="AT35">
        <v>77</v>
      </c>
      <c r="AU35">
        <v>41</v>
      </c>
      <c r="AV35">
        <v>1.0469999999999999</v>
      </c>
      <c r="AW35">
        <v>1</v>
      </c>
      <c r="AZ35">
        <v>1</v>
      </c>
      <c r="BA35">
        <v>21.43</v>
      </c>
      <c r="BB35">
        <v>9.94</v>
      </c>
      <c r="BC35">
        <v>5.28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69</v>
      </c>
      <c r="BM35">
        <v>317</v>
      </c>
      <c r="BN35">
        <v>0</v>
      </c>
      <c r="BO35" t="s">
        <v>67</v>
      </c>
      <c r="BP35">
        <v>1</v>
      </c>
      <c r="BQ35">
        <v>40</v>
      </c>
      <c r="BR35">
        <v>0</v>
      </c>
      <c r="BS35">
        <v>21.43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77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221</v>
      </c>
      <c r="CO35">
        <v>0</v>
      </c>
      <c r="CP35">
        <f t="shared" si="34"/>
        <v>2326.81</v>
      </c>
      <c r="CQ35">
        <f t="shared" si="35"/>
        <v>428.74</v>
      </c>
      <c r="CR35">
        <f>(ROUND((ROUND((((ET35*1.2))*AV35*1),2)*BB35),2)+ROUND((ROUND(((AE35-((EU35*1.2)))*AV35*1),2)*BS35),2))</f>
        <v>6533.16</v>
      </c>
      <c r="CS35">
        <f t="shared" si="36"/>
        <v>3268.08</v>
      </c>
      <c r="CT35">
        <f t="shared" si="37"/>
        <v>18892.259999999998</v>
      </c>
      <c r="CU35">
        <f t="shared" si="38"/>
        <v>0</v>
      </c>
      <c r="CV35">
        <f t="shared" si="39"/>
        <v>69.855840000000001</v>
      </c>
      <c r="CW35">
        <f t="shared" si="40"/>
        <v>0</v>
      </c>
      <c r="CX35">
        <f t="shared" si="41"/>
        <v>0</v>
      </c>
      <c r="CY35">
        <f t="shared" si="42"/>
        <v>1309.2002</v>
      </c>
      <c r="CZ35">
        <f t="shared" si="43"/>
        <v>697.10659999999996</v>
      </c>
      <c r="DC35" t="s">
        <v>3</v>
      </c>
      <c r="DD35" t="s">
        <v>3</v>
      </c>
      <c r="DE35" t="s">
        <v>28</v>
      </c>
      <c r="DF35" t="s">
        <v>28</v>
      </c>
      <c r="DG35" t="s">
        <v>28</v>
      </c>
      <c r="DH35" t="s">
        <v>3</v>
      </c>
      <c r="DI35" t="s">
        <v>28</v>
      </c>
      <c r="DJ35" t="s">
        <v>28</v>
      </c>
      <c r="DK35" t="s">
        <v>3</v>
      </c>
      <c r="DL35" t="s">
        <v>3</v>
      </c>
      <c r="DM35" t="s">
        <v>3</v>
      </c>
      <c r="DN35">
        <v>114</v>
      </c>
      <c r="DO35">
        <v>67</v>
      </c>
      <c r="DP35">
        <v>1.0469999999999999</v>
      </c>
      <c r="DQ35">
        <v>1</v>
      </c>
      <c r="DU35">
        <v>1003</v>
      </c>
      <c r="DV35" t="s">
        <v>48</v>
      </c>
      <c r="DW35" t="s">
        <v>48</v>
      </c>
      <c r="DX35">
        <v>100</v>
      </c>
      <c r="DZ35" t="s">
        <v>3</v>
      </c>
      <c r="EA35" t="s">
        <v>3</v>
      </c>
      <c r="EB35" t="s">
        <v>3</v>
      </c>
      <c r="EC35" t="s">
        <v>3</v>
      </c>
      <c r="EE35">
        <v>22827158</v>
      </c>
      <c r="EF35">
        <v>40</v>
      </c>
      <c r="EG35" t="s">
        <v>29</v>
      </c>
      <c r="EH35">
        <v>0</v>
      </c>
      <c r="EI35" t="s">
        <v>3</v>
      </c>
      <c r="EJ35">
        <v>2</v>
      </c>
      <c r="EK35">
        <v>317</v>
      </c>
      <c r="EL35" t="s">
        <v>30</v>
      </c>
      <c r="EM35" t="s">
        <v>31</v>
      </c>
      <c r="EO35" t="s">
        <v>32</v>
      </c>
      <c r="EQ35">
        <v>0</v>
      </c>
      <c r="ER35">
        <v>1306</v>
      </c>
      <c r="ES35">
        <v>81.2</v>
      </c>
      <c r="ET35">
        <v>523.13</v>
      </c>
      <c r="EU35">
        <v>121.38</v>
      </c>
      <c r="EV35">
        <v>701.67</v>
      </c>
      <c r="EW35">
        <v>55.6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X35">
        <v>114</v>
      </c>
      <c r="FY35">
        <v>67</v>
      </c>
      <c r="GA35" t="s">
        <v>3</v>
      </c>
      <c r="GD35">
        <v>0</v>
      </c>
      <c r="GF35">
        <v>1082002732</v>
      </c>
      <c r="GG35">
        <v>2</v>
      </c>
      <c r="GH35">
        <v>1</v>
      </c>
      <c r="GI35">
        <v>2</v>
      </c>
      <c r="GJ35">
        <v>0</v>
      </c>
      <c r="GK35">
        <f>ROUND(R35*(R12)/100,2)</f>
        <v>461.94</v>
      </c>
      <c r="GL35">
        <f t="shared" si="45"/>
        <v>0</v>
      </c>
      <c r="GM35">
        <f t="shared" si="46"/>
        <v>4795.0600000000004</v>
      </c>
      <c r="GN35">
        <f t="shared" si="47"/>
        <v>0</v>
      </c>
      <c r="GO35">
        <f t="shared" si="48"/>
        <v>4795.0600000000004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HE35" t="s">
        <v>3</v>
      </c>
      <c r="HF35" t="s">
        <v>3</v>
      </c>
      <c r="IK35">
        <v>0</v>
      </c>
    </row>
    <row r="36" spans="1:245" x14ac:dyDescent="0.2">
      <c r="A36">
        <v>17</v>
      </c>
      <c r="B36">
        <v>1</v>
      </c>
      <c r="E36" t="s">
        <v>70</v>
      </c>
      <c r="F36" t="s">
        <v>71</v>
      </c>
      <c r="G36" t="s">
        <v>72</v>
      </c>
      <c r="H36" t="s">
        <v>73</v>
      </c>
      <c r="I36">
        <f>ROUND((32)/100,9)</f>
        <v>0.32</v>
      </c>
      <c r="J36">
        <v>0</v>
      </c>
      <c r="O36">
        <f t="shared" si="21"/>
        <v>9119.7999999999993</v>
      </c>
      <c r="P36">
        <f t="shared" si="22"/>
        <v>897.03</v>
      </c>
      <c r="Q36">
        <f>(ROUND((ROUND((((ET36*1.2))*AV36*I36),2)*BB36),2)+ROUND((ROUND(((AE36-((EU36*1.2)))*AV36*I36),2)*BS36),2))</f>
        <v>72.13</v>
      </c>
      <c r="R36">
        <f t="shared" si="23"/>
        <v>24.57</v>
      </c>
      <c r="S36">
        <f t="shared" si="24"/>
        <v>8150.64</v>
      </c>
      <c r="T36">
        <f t="shared" si="25"/>
        <v>0</v>
      </c>
      <c r="U36">
        <f t="shared" si="26"/>
        <v>25.260675840000001</v>
      </c>
      <c r="V36">
        <f t="shared" si="27"/>
        <v>0</v>
      </c>
      <c r="W36">
        <f t="shared" si="28"/>
        <v>0</v>
      </c>
      <c r="X36">
        <f t="shared" si="29"/>
        <v>6275.99</v>
      </c>
      <c r="Y36">
        <f t="shared" si="30"/>
        <v>3341.76</v>
      </c>
      <c r="AA36">
        <v>23645517</v>
      </c>
      <c r="AB36">
        <f t="shared" si="31"/>
        <v>1538.056</v>
      </c>
      <c r="AC36">
        <f>ROUND((ES36),6)</f>
        <v>529.9</v>
      </c>
      <c r="AD36">
        <f>ROUND(((((ET36*1.2))-((EU36*1.2)))+AE36),6)</f>
        <v>28.007999999999999</v>
      </c>
      <c r="AE36">
        <f t="shared" si="53"/>
        <v>2.952</v>
      </c>
      <c r="AF36">
        <f t="shared" si="53"/>
        <v>980.14800000000002</v>
      </c>
      <c r="AG36">
        <f t="shared" si="32"/>
        <v>0</v>
      </c>
      <c r="AH36">
        <f t="shared" si="54"/>
        <v>75.396000000000001</v>
      </c>
      <c r="AI36">
        <f t="shared" si="54"/>
        <v>0</v>
      </c>
      <c r="AJ36">
        <f t="shared" si="33"/>
        <v>0</v>
      </c>
      <c r="AK36">
        <v>1370.03</v>
      </c>
      <c r="AL36">
        <v>529.9</v>
      </c>
      <c r="AM36">
        <v>23.34</v>
      </c>
      <c r="AN36">
        <v>2.46</v>
      </c>
      <c r="AO36">
        <v>816.79</v>
      </c>
      <c r="AP36">
        <v>0</v>
      </c>
      <c r="AQ36">
        <v>62.83</v>
      </c>
      <c r="AR36">
        <v>0</v>
      </c>
      <c r="AS36">
        <v>0</v>
      </c>
      <c r="AT36">
        <v>77</v>
      </c>
      <c r="AU36">
        <v>41</v>
      </c>
      <c r="AV36">
        <v>1.0469999999999999</v>
      </c>
      <c r="AW36">
        <v>1</v>
      </c>
      <c r="AZ36">
        <v>1</v>
      </c>
      <c r="BA36">
        <v>24.82</v>
      </c>
      <c r="BB36">
        <v>7.69</v>
      </c>
      <c r="BC36">
        <v>5.29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2</v>
      </c>
      <c r="BJ36" t="s">
        <v>74</v>
      </c>
      <c r="BM36">
        <v>333</v>
      </c>
      <c r="BN36">
        <v>0</v>
      </c>
      <c r="BO36" t="s">
        <v>71</v>
      </c>
      <c r="BP36">
        <v>1</v>
      </c>
      <c r="BQ36">
        <v>40</v>
      </c>
      <c r="BR36">
        <v>0</v>
      </c>
      <c r="BS36">
        <v>24.82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77</v>
      </c>
      <c r="CA36">
        <v>41</v>
      </c>
      <c r="CE36">
        <v>30</v>
      </c>
      <c r="CF36">
        <v>0</v>
      </c>
      <c r="CG36">
        <v>0</v>
      </c>
      <c r="CM36">
        <v>0</v>
      </c>
      <c r="CN36" t="s">
        <v>221</v>
      </c>
      <c r="CO36">
        <v>0</v>
      </c>
      <c r="CP36">
        <f t="shared" si="34"/>
        <v>9119.8000000000011</v>
      </c>
      <c r="CQ36">
        <f t="shared" si="35"/>
        <v>2803.17</v>
      </c>
      <c r="CR36">
        <f>(ROUND((ROUND((((ET36*1.2))*AV36*1),2)*BB36),2)+ROUND((ROUND(((AE36-((EU36*1.2)))*AV36*1),2)*BS36),2))</f>
        <v>225.47</v>
      </c>
      <c r="CS36">
        <f t="shared" si="36"/>
        <v>76.69</v>
      </c>
      <c r="CT36">
        <f t="shared" si="37"/>
        <v>25470.53</v>
      </c>
      <c r="CU36">
        <f t="shared" si="38"/>
        <v>0</v>
      </c>
      <c r="CV36">
        <f t="shared" si="39"/>
        <v>78.939611999999997</v>
      </c>
      <c r="CW36">
        <f t="shared" si="40"/>
        <v>0</v>
      </c>
      <c r="CX36">
        <f t="shared" si="41"/>
        <v>0</v>
      </c>
      <c r="CY36">
        <f t="shared" si="42"/>
        <v>6275.9928</v>
      </c>
      <c r="CZ36">
        <f t="shared" si="43"/>
        <v>3341.7624000000001</v>
      </c>
      <c r="DC36" t="s">
        <v>3</v>
      </c>
      <c r="DD36" t="s">
        <v>3</v>
      </c>
      <c r="DE36" t="s">
        <v>28</v>
      </c>
      <c r="DF36" t="s">
        <v>28</v>
      </c>
      <c r="DG36" t="s">
        <v>28</v>
      </c>
      <c r="DH36" t="s">
        <v>3</v>
      </c>
      <c r="DI36" t="s">
        <v>28</v>
      </c>
      <c r="DJ36" t="s">
        <v>28</v>
      </c>
      <c r="DK36" t="s">
        <v>3</v>
      </c>
      <c r="DL36" t="s">
        <v>3</v>
      </c>
      <c r="DM36" t="s">
        <v>3</v>
      </c>
      <c r="DN36">
        <v>114</v>
      </c>
      <c r="DO36">
        <v>67</v>
      </c>
      <c r="DP36">
        <v>1.0469999999999999</v>
      </c>
      <c r="DQ36">
        <v>1</v>
      </c>
      <c r="DU36">
        <v>1013</v>
      </c>
      <c r="DV36" t="s">
        <v>73</v>
      </c>
      <c r="DW36" t="s">
        <v>73</v>
      </c>
      <c r="DX36">
        <v>1</v>
      </c>
      <c r="DZ36" t="s">
        <v>3</v>
      </c>
      <c r="EA36" t="s">
        <v>3</v>
      </c>
      <c r="EB36" t="s">
        <v>3</v>
      </c>
      <c r="EC36" t="s">
        <v>3</v>
      </c>
      <c r="EE36">
        <v>22827174</v>
      </c>
      <c r="EF36">
        <v>40</v>
      </c>
      <c r="EG36" t="s">
        <v>29</v>
      </c>
      <c r="EH36">
        <v>0</v>
      </c>
      <c r="EI36" t="s">
        <v>3</v>
      </c>
      <c r="EJ36">
        <v>2</v>
      </c>
      <c r="EK36">
        <v>333</v>
      </c>
      <c r="EL36" t="s">
        <v>38</v>
      </c>
      <c r="EM36" t="s">
        <v>39</v>
      </c>
      <c r="EO36" t="s">
        <v>32</v>
      </c>
      <c r="EQ36">
        <v>0</v>
      </c>
      <c r="ER36">
        <v>1370.03</v>
      </c>
      <c r="ES36">
        <v>529.9</v>
      </c>
      <c r="ET36">
        <v>23.34</v>
      </c>
      <c r="EU36">
        <v>2.46</v>
      </c>
      <c r="EV36">
        <v>816.79</v>
      </c>
      <c r="EW36">
        <v>62.83</v>
      </c>
      <c r="EX36">
        <v>0</v>
      </c>
      <c r="EY36">
        <v>0</v>
      </c>
      <c r="FQ36">
        <v>0</v>
      </c>
      <c r="FR36">
        <f t="shared" si="44"/>
        <v>0</v>
      </c>
      <c r="FS36">
        <v>0</v>
      </c>
      <c r="FX36">
        <v>114</v>
      </c>
      <c r="FY36">
        <v>67</v>
      </c>
      <c r="GA36" t="s">
        <v>3</v>
      </c>
      <c r="GD36">
        <v>0</v>
      </c>
      <c r="GF36">
        <v>1944667042</v>
      </c>
      <c r="GG36">
        <v>2</v>
      </c>
      <c r="GH36">
        <v>1</v>
      </c>
      <c r="GI36">
        <v>2</v>
      </c>
      <c r="GJ36">
        <v>0</v>
      </c>
      <c r="GK36">
        <f>ROUND(R36*(R12)/100,2)</f>
        <v>38.57</v>
      </c>
      <c r="GL36">
        <f t="shared" si="45"/>
        <v>0</v>
      </c>
      <c r="GM36">
        <f t="shared" si="46"/>
        <v>18776.12</v>
      </c>
      <c r="GN36">
        <f t="shared" si="47"/>
        <v>0</v>
      </c>
      <c r="GO36">
        <f t="shared" si="48"/>
        <v>18776.12</v>
      </c>
      <c r="GP36">
        <f t="shared" si="49"/>
        <v>0</v>
      </c>
      <c r="GR36">
        <v>0</v>
      </c>
      <c r="GS36">
        <v>0</v>
      </c>
      <c r="GT36">
        <v>0</v>
      </c>
      <c r="GU36" t="s">
        <v>3</v>
      </c>
      <c r="GV36">
        <f t="shared" si="50"/>
        <v>0</v>
      </c>
      <c r="GW36">
        <v>1</v>
      </c>
      <c r="GX36">
        <f t="shared" si="51"/>
        <v>0</v>
      </c>
      <c r="HA36">
        <v>0</v>
      </c>
      <c r="HB36">
        <v>0</v>
      </c>
      <c r="HC36">
        <f t="shared" si="52"/>
        <v>0</v>
      </c>
      <c r="HE36" t="s">
        <v>3</v>
      </c>
      <c r="HF36" t="s">
        <v>3</v>
      </c>
      <c r="IK36">
        <v>0</v>
      </c>
    </row>
    <row r="37" spans="1:245" x14ac:dyDescent="0.2">
      <c r="A37">
        <v>17</v>
      </c>
      <c r="B37">
        <v>1</v>
      </c>
      <c r="E37" t="s">
        <v>75</v>
      </c>
      <c r="F37" t="s">
        <v>76</v>
      </c>
      <c r="G37" t="s">
        <v>77</v>
      </c>
      <c r="H37" t="s">
        <v>78</v>
      </c>
      <c r="I37">
        <f>ROUND((15)/100,9)</f>
        <v>0.15</v>
      </c>
      <c r="J37">
        <v>0</v>
      </c>
      <c r="O37">
        <f t="shared" si="21"/>
        <v>700.49</v>
      </c>
      <c r="P37">
        <f t="shared" si="22"/>
        <v>1.06</v>
      </c>
      <c r="Q37">
        <f>(ROUND((ROUND((((ET37*1.2))*AV37*I37),2)*BB37),2)+ROUND((ROUND(((AE37-((EU37*1.2)))*AV37*I37),2)*BS37),2))</f>
        <v>0</v>
      </c>
      <c r="R37">
        <f t="shared" si="23"/>
        <v>0</v>
      </c>
      <c r="S37">
        <f t="shared" si="24"/>
        <v>699.43</v>
      </c>
      <c r="T37">
        <f t="shared" si="25"/>
        <v>0</v>
      </c>
      <c r="U37">
        <f t="shared" si="26"/>
        <v>2.2855139999999996</v>
      </c>
      <c r="V37">
        <f t="shared" si="27"/>
        <v>0</v>
      </c>
      <c r="W37">
        <f t="shared" si="28"/>
        <v>0</v>
      </c>
      <c r="X37">
        <f t="shared" si="29"/>
        <v>538.55999999999995</v>
      </c>
      <c r="Y37">
        <f t="shared" si="30"/>
        <v>286.77</v>
      </c>
      <c r="AA37">
        <v>23645517</v>
      </c>
      <c r="AB37">
        <f t="shared" si="31"/>
        <v>177.33600000000001</v>
      </c>
      <c r="AC37">
        <f>ROUND((ES37),6)</f>
        <v>1.26</v>
      </c>
      <c r="AD37">
        <f>ROUND(((((ET37*1.2))-((EU37*1.2)))+AE37),6)</f>
        <v>0</v>
      </c>
      <c r="AE37">
        <f t="shared" si="53"/>
        <v>0</v>
      </c>
      <c r="AF37">
        <f t="shared" si="53"/>
        <v>176.07599999999999</v>
      </c>
      <c r="AG37">
        <f t="shared" si="32"/>
        <v>0</v>
      </c>
      <c r="AH37">
        <f t="shared" si="54"/>
        <v>14.28</v>
      </c>
      <c r="AI37">
        <f t="shared" si="54"/>
        <v>0</v>
      </c>
      <c r="AJ37">
        <f t="shared" si="33"/>
        <v>0</v>
      </c>
      <c r="AK37">
        <v>147.99</v>
      </c>
      <c r="AL37">
        <v>1.26</v>
      </c>
      <c r="AM37">
        <v>0</v>
      </c>
      <c r="AN37">
        <v>0</v>
      </c>
      <c r="AO37">
        <v>146.72999999999999</v>
      </c>
      <c r="AP37">
        <v>0</v>
      </c>
      <c r="AQ37">
        <v>11.9</v>
      </c>
      <c r="AR37">
        <v>0</v>
      </c>
      <c r="AS37">
        <v>0</v>
      </c>
      <c r="AT37">
        <v>77</v>
      </c>
      <c r="AU37">
        <v>41</v>
      </c>
      <c r="AV37">
        <v>1.0669999999999999</v>
      </c>
      <c r="AW37">
        <v>1.081</v>
      </c>
      <c r="AZ37">
        <v>1</v>
      </c>
      <c r="BA37">
        <v>24.82</v>
      </c>
      <c r="BB37">
        <v>1</v>
      </c>
      <c r="BC37">
        <v>5.29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79</v>
      </c>
      <c r="BM37">
        <v>318</v>
      </c>
      <c r="BN37">
        <v>0</v>
      </c>
      <c r="BO37" t="s">
        <v>76</v>
      </c>
      <c r="BP37">
        <v>1</v>
      </c>
      <c r="BQ37">
        <v>40</v>
      </c>
      <c r="BR37">
        <v>0</v>
      </c>
      <c r="BS37">
        <v>24.82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77</v>
      </c>
      <c r="CA37">
        <v>41</v>
      </c>
      <c r="CE37">
        <v>30</v>
      </c>
      <c r="CF37">
        <v>0</v>
      </c>
      <c r="CG37">
        <v>0</v>
      </c>
      <c r="CM37">
        <v>0</v>
      </c>
      <c r="CN37" t="s">
        <v>221</v>
      </c>
      <c r="CO37">
        <v>0</v>
      </c>
      <c r="CP37">
        <f t="shared" si="34"/>
        <v>700.4899999999999</v>
      </c>
      <c r="CQ37">
        <f t="shared" si="35"/>
        <v>7.19</v>
      </c>
      <c r="CR37">
        <f>(ROUND((ROUND((((ET37*1.2))*AV37*1),2)*BB37),2)+ROUND((ROUND(((AE37-((EU37*1.2)))*AV37*1),2)*BS37),2))</f>
        <v>0</v>
      </c>
      <c r="CS37">
        <f t="shared" si="36"/>
        <v>0</v>
      </c>
      <c r="CT37">
        <f t="shared" si="37"/>
        <v>4662.93</v>
      </c>
      <c r="CU37">
        <f t="shared" si="38"/>
        <v>0</v>
      </c>
      <c r="CV37">
        <f t="shared" si="39"/>
        <v>15.236759999999999</v>
      </c>
      <c r="CW37">
        <f t="shared" si="40"/>
        <v>0</v>
      </c>
      <c r="CX37">
        <f t="shared" si="41"/>
        <v>0</v>
      </c>
      <c r="CY37">
        <f t="shared" si="42"/>
        <v>538.56110000000001</v>
      </c>
      <c r="CZ37">
        <f t="shared" si="43"/>
        <v>286.76629999999994</v>
      </c>
      <c r="DC37" t="s">
        <v>3</v>
      </c>
      <c r="DD37" t="s">
        <v>3</v>
      </c>
      <c r="DE37" t="s">
        <v>28</v>
      </c>
      <c r="DF37" t="s">
        <v>28</v>
      </c>
      <c r="DG37" t="s">
        <v>28</v>
      </c>
      <c r="DH37" t="s">
        <v>3</v>
      </c>
      <c r="DI37" t="s">
        <v>28</v>
      </c>
      <c r="DJ37" t="s">
        <v>28</v>
      </c>
      <c r="DK37" t="s">
        <v>3</v>
      </c>
      <c r="DL37" t="s">
        <v>3</v>
      </c>
      <c r="DM37" t="s">
        <v>3</v>
      </c>
      <c r="DN37">
        <v>114</v>
      </c>
      <c r="DO37">
        <v>67</v>
      </c>
      <c r="DP37">
        <v>1.0669999999999999</v>
      </c>
      <c r="DQ37">
        <v>1.081</v>
      </c>
      <c r="DU37">
        <v>1010</v>
      </c>
      <c r="DV37" t="s">
        <v>78</v>
      </c>
      <c r="DW37" t="s">
        <v>78</v>
      </c>
      <c r="DX37">
        <v>100</v>
      </c>
      <c r="DZ37" t="s">
        <v>3</v>
      </c>
      <c r="EA37" t="s">
        <v>3</v>
      </c>
      <c r="EB37" t="s">
        <v>3</v>
      </c>
      <c r="EC37" t="s">
        <v>3</v>
      </c>
      <c r="EE37">
        <v>22827159</v>
      </c>
      <c r="EF37">
        <v>40</v>
      </c>
      <c r="EG37" t="s">
        <v>29</v>
      </c>
      <c r="EH37">
        <v>0</v>
      </c>
      <c r="EI37" t="s">
        <v>3</v>
      </c>
      <c r="EJ37">
        <v>2</v>
      </c>
      <c r="EK37">
        <v>318</v>
      </c>
      <c r="EL37" t="s">
        <v>50</v>
      </c>
      <c r="EM37" t="s">
        <v>51</v>
      </c>
      <c r="EO37" t="s">
        <v>32</v>
      </c>
      <c r="EQ37">
        <v>0</v>
      </c>
      <c r="ER37">
        <v>147.99</v>
      </c>
      <c r="ES37">
        <v>1.26</v>
      </c>
      <c r="ET37">
        <v>0</v>
      </c>
      <c r="EU37">
        <v>0</v>
      </c>
      <c r="EV37">
        <v>146.72999999999999</v>
      </c>
      <c r="EW37">
        <v>11.9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X37">
        <v>114</v>
      </c>
      <c r="FY37">
        <v>67</v>
      </c>
      <c r="GA37" t="s">
        <v>3</v>
      </c>
      <c r="GD37">
        <v>0</v>
      </c>
      <c r="GF37">
        <v>-9613542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5"/>
        <v>0</v>
      </c>
      <c r="GM37">
        <f t="shared" si="46"/>
        <v>1525.82</v>
      </c>
      <c r="GN37">
        <f t="shared" si="47"/>
        <v>0</v>
      </c>
      <c r="GO37">
        <f t="shared" si="48"/>
        <v>1525.82</v>
      </c>
      <c r="GP37">
        <f t="shared" si="49"/>
        <v>0</v>
      </c>
      <c r="GR37">
        <v>0</v>
      </c>
      <c r="GS37">
        <v>0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HE37" t="s">
        <v>3</v>
      </c>
      <c r="HF37" t="s">
        <v>3</v>
      </c>
      <c r="IK37">
        <v>0</v>
      </c>
    </row>
    <row r="39" spans="1:245" x14ac:dyDescent="0.2">
      <c r="A39" s="2">
        <v>51</v>
      </c>
      <c r="B39" s="2">
        <f>B24</f>
        <v>1</v>
      </c>
      <c r="C39" s="2">
        <f>A24</f>
        <v>4</v>
      </c>
      <c r="D39" s="2">
        <f>ROW(A24)</f>
        <v>24</v>
      </c>
      <c r="E39" s="2"/>
      <c r="F39" s="2" t="str">
        <f>IF(F24&lt;&gt;"",F24,"")</f>
        <v>Новый раздел</v>
      </c>
      <c r="G39" s="2" t="str">
        <f>IF(G24&lt;&gt;"",G24,"")</f>
        <v>Электромонтажные работы.</v>
      </c>
      <c r="H39" s="2">
        <v>0</v>
      </c>
      <c r="I39" s="2"/>
      <c r="J39" s="2"/>
      <c r="K39" s="2"/>
      <c r="L39" s="2"/>
      <c r="M39" s="2"/>
      <c r="N39" s="2"/>
      <c r="O39" s="2">
        <f t="shared" ref="O39:T39" si="55">ROUND(AB39,2)</f>
        <v>51315.19</v>
      </c>
      <c r="P39" s="2">
        <f t="shared" si="55"/>
        <v>7762.81</v>
      </c>
      <c r="Q39" s="2">
        <f t="shared" si="55"/>
        <v>9210.1</v>
      </c>
      <c r="R39" s="2">
        <f t="shared" si="55"/>
        <v>4767.54</v>
      </c>
      <c r="S39" s="2">
        <f t="shared" si="55"/>
        <v>34342.28</v>
      </c>
      <c r="T39" s="2">
        <f t="shared" si="55"/>
        <v>0</v>
      </c>
      <c r="U39" s="2">
        <f>AH39</f>
        <v>105.36519676</v>
      </c>
      <c r="V39" s="2">
        <f>AI39</f>
        <v>0</v>
      </c>
      <c r="W39" s="2">
        <f>ROUND(AJ39,2)</f>
        <v>0</v>
      </c>
      <c r="X39" s="2">
        <f>ROUND(AK39,2)</f>
        <v>26443.54</v>
      </c>
      <c r="Y39" s="2">
        <f>ROUND(AL39,2)</f>
        <v>14080.35</v>
      </c>
      <c r="Z39" s="2"/>
      <c r="AA39" s="2"/>
      <c r="AB39" s="2">
        <f>ROUND(SUMIF(AA28:AA37,"=23645517",O28:O37),2)</f>
        <v>51315.19</v>
      </c>
      <c r="AC39" s="2">
        <f>ROUND(SUMIF(AA28:AA37,"=23645517",P28:P37),2)</f>
        <v>7762.81</v>
      </c>
      <c r="AD39" s="2">
        <f>ROUND(SUMIF(AA28:AA37,"=23645517",Q28:Q37),2)</f>
        <v>9210.1</v>
      </c>
      <c r="AE39" s="2">
        <f>ROUND(SUMIF(AA28:AA37,"=23645517",R28:R37),2)</f>
        <v>4767.54</v>
      </c>
      <c r="AF39" s="2">
        <f>ROUND(SUMIF(AA28:AA37,"=23645517",S28:S37),2)</f>
        <v>34342.28</v>
      </c>
      <c r="AG39" s="2">
        <f>ROUND(SUMIF(AA28:AA37,"=23645517",T28:T37),2)</f>
        <v>0</v>
      </c>
      <c r="AH39" s="2">
        <f>SUMIF(AA28:AA37,"=23645517",U28:U37)</f>
        <v>105.36519676</v>
      </c>
      <c r="AI39" s="2">
        <f>SUMIF(AA28:AA37,"=23645517",V28:V37)</f>
        <v>0</v>
      </c>
      <c r="AJ39" s="2">
        <f>ROUND(SUMIF(AA28:AA37,"=23645517",W28:W37),2)</f>
        <v>0</v>
      </c>
      <c r="AK39" s="2">
        <f>ROUND(SUMIF(AA28:AA37,"=23645517",X28:X37),2)</f>
        <v>26443.54</v>
      </c>
      <c r="AL39" s="2">
        <f>ROUND(SUMIF(AA28:AA37,"=23645517",Y28:Y37),2)</f>
        <v>14080.35</v>
      </c>
      <c r="AM39" s="2"/>
      <c r="AN39" s="2"/>
      <c r="AO39" s="2">
        <f t="shared" ref="AO39:BD39" si="56">ROUND(BX39,2)</f>
        <v>0</v>
      </c>
      <c r="AP39" s="2">
        <f t="shared" si="56"/>
        <v>0</v>
      </c>
      <c r="AQ39" s="2">
        <f t="shared" si="56"/>
        <v>0</v>
      </c>
      <c r="AR39" s="2">
        <f t="shared" si="56"/>
        <v>99324.12</v>
      </c>
      <c r="AS39" s="2">
        <f t="shared" si="56"/>
        <v>0</v>
      </c>
      <c r="AT39" s="2">
        <f t="shared" si="56"/>
        <v>99324.12</v>
      </c>
      <c r="AU39" s="2">
        <f t="shared" si="56"/>
        <v>0</v>
      </c>
      <c r="AV39" s="2">
        <f t="shared" si="56"/>
        <v>7762.81</v>
      </c>
      <c r="AW39" s="2">
        <f t="shared" si="56"/>
        <v>7762.81</v>
      </c>
      <c r="AX39" s="2">
        <f t="shared" si="56"/>
        <v>0</v>
      </c>
      <c r="AY39" s="2">
        <f t="shared" si="56"/>
        <v>7762.81</v>
      </c>
      <c r="AZ39" s="2">
        <f t="shared" si="56"/>
        <v>0</v>
      </c>
      <c r="BA39" s="2">
        <f t="shared" si="56"/>
        <v>0</v>
      </c>
      <c r="BB39" s="2">
        <f t="shared" si="56"/>
        <v>0</v>
      </c>
      <c r="BC39" s="2">
        <f t="shared" si="56"/>
        <v>0</v>
      </c>
      <c r="BD39" s="2">
        <f t="shared" si="56"/>
        <v>0</v>
      </c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>
        <f>ROUND(SUMIF(AA28:AA37,"=23645517",FQ28:FQ37),2)</f>
        <v>0</v>
      </c>
      <c r="BY39" s="2">
        <f>ROUND(SUMIF(AA28:AA37,"=23645517",FR28:FR37),2)</f>
        <v>0</v>
      </c>
      <c r="BZ39" s="2">
        <f>ROUND(SUMIF(AA28:AA37,"=23645517",GL28:GL37),2)</f>
        <v>0</v>
      </c>
      <c r="CA39" s="2">
        <f>ROUND(SUMIF(AA28:AA37,"=23645517",GM28:GM37),2)</f>
        <v>99324.12</v>
      </c>
      <c r="CB39" s="2">
        <f>ROUND(SUMIF(AA28:AA37,"=23645517",GN28:GN37),2)</f>
        <v>0</v>
      </c>
      <c r="CC39" s="2">
        <f>ROUND(SUMIF(AA28:AA37,"=23645517",GO28:GO37),2)</f>
        <v>99324.12</v>
      </c>
      <c r="CD39" s="2">
        <f>ROUND(SUMIF(AA28:AA37,"=23645517",GP28:GP37),2)</f>
        <v>0</v>
      </c>
      <c r="CE39" s="2">
        <f>AC39-BX39</f>
        <v>7762.81</v>
      </c>
      <c r="CF39" s="2">
        <f>AC39-BY39</f>
        <v>7762.81</v>
      </c>
      <c r="CG39" s="2">
        <f>BX39-BZ39</f>
        <v>0</v>
      </c>
      <c r="CH39" s="2">
        <f>AC39-BX39-BY39+BZ39</f>
        <v>7762.81</v>
      </c>
      <c r="CI39" s="2">
        <f>BY39-BZ39</f>
        <v>0</v>
      </c>
      <c r="CJ39" s="2">
        <f>ROUND(SUMIF(AA28:AA37,"=23645517",GX28:GX37),2)</f>
        <v>0</v>
      </c>
      <c r="CK39" s="2">
        <f>ROUND(SUMIF(AA28:AA37,"=23645517",GY28:GY37),2)</f>
        <v>0</v>
      </c>
      <c r="CL39" s="2">
        <f>ROUND(SUMIF(AA28:AA37,"=23645517",GZ28:GZ37),2)</f>
        <v>0</v>
      </c>
      <c r="CM39" s="2">
        <f>ROUND(SUMIF(AA28:AA37,"=23645517",HD28:HD37),2)</f>
        <v>0</v>
      </c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>
        <v>0</v>
      </c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201</v>
      </c>
      <c r="F41" s="4">
        <f>ROUND(Source!O39,O41)</f>
        <v>51315.19</v>
      </c>
      <c r="G41" s="4" t="s">
        <v>80</v>
      </c>
      <c r="H41" s="4" t="s">
        <v>81</v>
      </c>
      <c r="I41" s="4"/>
      <c r="J41" s="4"/>
      <c r="K41" s="4">
        <v>201</v>
      </c>
      <c r="L41" s="4">
        <v>1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202</v>
      </c>
      <c r="F42" s="4">
        <f>ROUND(Source!P39,O42)</f>
        <v>7762.81</v>
      </c>
      <c r="G42" s="4" t="s">
        <v>82</v>
      </c>
      <c r="H42" s="4" t="s">
        <v>83</v>
      </c>
      <c r="I42" s="4"/>
      <c r="J42" s="4"/>
      <c r="K42" s="4">
        <v>202</v>
      </c>
      <c r="L42" s="4">
        <v>2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222</v>
      </c>
      <c r="F43" s="4">
        <f>ROUND(Source!AO39,O43)</f>
        <v>0</v>
      </c>
      <c r="G43" s="4" t="s">
        <v>84</v>
      </c>
      <c r="H43" s="4" t="s">
        <v>85</v>
      </c>
      <c r="I43" s="4"/>
      <c r="J43" s="4"/>
      <c r="K43" s="4">
        <v>222</v>
      </c>
      <c r="L43" s="4">
        <v>3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225</v>
      </c>
      <c r="F44" s="4">
        <f>ROUND(Source!AV39,O44)</f>
        <v>7762.81</v>
      </c>
      <c r="G44" s="4" t="s">
        <v>86</v>
      </c>
      <c r="H44" s="4" t="s">
        <v>87</v>
      </c>
      <c r="I44" s="4"/>
      <c r="J44" s="4"/>
      <c r="K44" s="4">
        <v>225</v>
      </c>
      <c r="L44" s="4">
        <v>4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226</v>
      </c>
      <c r="F45" s="4">
        <f>ROUND(Source!AW39,O45)</f>
        <v>7762.81</v>
      </c>
      <c r="G45" s="4" t="s">
        <v>88</v>
      </c>
      <c r="H45" s="4" t="s">
        <v>89</v>
      </c>
      <c r="I45" s="4"/>
      <c r="J45" s="4"/>
      <c r="K45" s="4">
        <v>226</v>
      </c>
      <c r="L45" s="4">
        <v>5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227</v>
      </c>
      <c r="F46" s="4">
        <f>ROUND(Source!AX39,O46)</f>
        <v>0</v>
      </c>
      <c r="G46" s="4" t="s">
        <v>90</v>
      </c>
      <c r="H46" s="4" t="s">
        <v>91</v>
      </c>
      <c r="I46" s="4"/>
      <c r="J46" s="4"/>
      <c r="K46" s="4">
        <v>227</v>
      </c>
      <c r="L46" s="4">
        <v>6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228</v>
      </c>
      <c r="F47" s="4">
        <f>ROUND(Source!AY39,O47)</f>
        <v>7762.81</v>
      </c>
      <c r="G47" s="4" t="s">
        <v>92</v>
      </c>
      <c r="H47" s="4" t="s">
        <v>93</v>
      </c>
      <c r="I47" s="4"/>
      <c r="J47" s="4"/>
      <c r="K47" s="4">
        <v>228</v>
      </c>
      <c r="L47" s="4">
        <v>7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216</v>
      </c>
      <c r="F48" s="4">
        <f>ROUND(Source!AP39,O48)</f>
        <v>0</v>
      </c>
      <c r="G48" s="4" t="s">
        <v>94</v>
      </c>
      <c r="H48" s="4" t="s">
        <v>95</v>
      </c>
      <c r="I48" s="4"/>
      <c r="J48" s="4"/>
      <c r="K48" s="4">
        <v>216</v>
      </c>
      <c r="L48" s="4">
        <v>8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223</v>
      </c>
      <c r="F49" s="4">
        <f>ROUND(Source!AQ39,O49)</f>
        <v>0</v>
      </c>
      <c r="G49" s="4" t="s">
        <v>96</v>
      </c>
      <c r="H49" s="4" t="s">
        <v>97</v>
      </c>
      <c r="I49" s="4"/>
      <c r="J49" s="4"/>
      <c r="K49" s="4">
        <v>223</v>
      </c>
      <c r="L49" s="4">
        <v>9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229</v>
      </c>
      <c r="F50" s="4">
        <f>ROUND(Source!AZ39,O50)</f>
        <v>0</v>
      </c>
      <c r="G50" s="4" t="s">
        <v>98</v>
      </c>
      <c r="H50" s="4" t="s">
        <v>99</v>
      </c>
      <c r="I50" s="4"/>
      <c r="J50" s="4"/>
      <c r="K50" s="4">
        <v>229</v>
      </c>
      <c r="L50" s="4">
        <v>10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203</v>
      </c>
      <c r="F51" s="4">
        <f>ROUND(Source!Q39,O51)</f>
        <v>9210.1</v>
      </c>
      <c r="G51" s="4" t="s">
        <v>100</v>
      </c>
      <c r="H51" s="4" t="s">
        <v>101</v>
      </c>
      <c r="I51" s="4"/>
      <c r="J51" s="4"/>
      <c r="K51" s="4">
        <v>203</v>
      </c>
      <c r="L51" s="4">
        <v>11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231</v>
      </c>
      <c r="F52" s="4">
        <f>ROUND(Source!BB39,O52)</f>
        <v>0</v>
      </c>
      <c r="G52" s="4" t="s">
        <v>102</v>
      </c>
      <c r="H52" s="4" t="s">
        <v>103</v>
      </c>
      <c r="I52" s="4"/>
      <c r="J52" s="4"/>
      <c r="K52" s="4">
        <v>231</v>
      </c>
      <c r="L52" s="4">
        <v>12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204</v>
      </c>
      <c r="F53" s="4">
        <f>ROUND(Source!R39,O53)</f>
        <v>4767.54</v>
      </c>
      <c r="G53" s="4" t="s">
        <v>104</v>
      </c>
      <c r="H53" s="4" t="s">
        <v>105</v>
      </c>
      <c r="I53" s="4"/>
      <c r="J53" s="4"/>
      <c r="K53" s="4">
        <v>204</v>
      </c>
      <c r="L53" s="4">
        <v>13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205</v>
      </c>
      <c r="F54" s="4">
        <f>ROUND(Source!S39,O54)</f>
        <v>34342.28</v>
      </c>
      <c r="G54" s="4" t="s">
        <v>106</v>
      </c>
      <c r="H54" s="4" t="s">
        <v>107</v>
      </c>
      <c r="I54" s="4"/>
      <c r="J54" s="4"/>
      <c r="K54" s="4">
        <v>205</v>
      </c>
      <c r="L54" s="4">
        <v>14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232</v>
      </c>
      <c r="F55" s="4">
        <f>ROUND(Source!BC39,O55)</f>
        <v>0</v>
      </c>
      <c r="G55" s="4" t="s">
        <v>108</v>
      </c>
      <c r="H55" s="4" t="s">
        <v>109</v>
      </c>
      <c r="I55" s="4"/>
      <c r="J55" s="4"/>
      <c r="K55" s="4">
        <v>232</v>
      </c>
      <c r="L55" s="4">
        <v>15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214</v>
      </c>
      <c r="F56" s="4">
        <f>ROUND(Source!AS39,O56)</f>
        <v>0</v>
      </c>
      <c r="G56" s="4" t="s">
        <v>110</v>
      </c>
      <c r="H56" s="4" t="s">
        <v>111</v>
      </c>
      <c r="I56" s="4"/>
      <c r="J56" s="4"/>
      <c r="K56" s="4">
        <v>214</v>
      </c>
      <c r="L56" s="4">
        <v>16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215</v>
      </c>
      <c r="F57" s="4">
        <f>ROUND(Source!AT39,O57)</f>
        <v>99324.12</v>
      </c>
      <c r="G57" s="4" t="s">
        <v>112</v>
      </c>
      <c r="H57" s="4" t="s">
        <v>113</v>
      </c>
      <c r="I57" s="4"/>
      <c r="J57" s="4"/>
      <c r="K57" s="4">
        <v>215</v>
      </c>
      <c r="L57" s="4">
        <v>17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217</v>
      </c>
      <c r="F58" s="4">
        <f>ROUND(Source!AU39,O58)</f>
        <v>0</v>
      </c>
      <c r="G58" s="4" t="s">
        <v>114</v>
      </c>
      <c r="H58" s="4" t="s">
        <v>115</v>
      </c>
      <c r="I58" s="4"/>
      <c r="J58" s="4"/>
      <c r="K58" s="4">
        <v>217</v>
      </c>
      <c r="L58" s="4">
        <v>18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230</v>
      </c>
      <c r="F59" s="4">
        <f>ROUND(Source!BA39,O59)</f>
        <v>0</v>
      </c>
      <c r="G59" s="4" t="s">
        <v>116</v>
      </c>
      <c r="H59" s="4" t="s">
        <v>117</v>
      </c>
      <c r="I59" s="4"/>
      <c r="J59" s="4"/>
      <c r="K59" s="4">
        <v>230</v>
      </c>
      <c r="L59" s="4">
        <v>19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206</v>
      </c>
      <c r="F60" s="4">
        <f>ROUND(Source!T39,O60)</f>
        <v>0</v>
      </c>
      <c r="G60" s="4" t="s">
        <v>118</v>
      </c>
      <c r="H60" s="4" t="s">
        <v>119</v>
      </c>
      <c r="I60" s="4"/>
      <c r="J60" s="4"/>
      <c r="K60" s="4">
        <v>206</v>
      </c>
      <c r="L60" s="4">
        <v>20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207</v>
      </c>
      <c r="F61" s="4">
        <f>Source!U39</f>
        <v>105.36519676</v>
      </c>
      <c r="G61" s="4" t="s">
        <v>120</v>
      </c>
      <c r="H61" s="4" t="s">
        <v>121</v>
      </c>
      <c r="I61" s="4"/>
      <c r="J61" s="4"/>
      <c r="K61" s="4">
        <v>207</v>
      </c>
      <c r="L61" s="4">
        <v>21</v>
      </c>
      <c r="M61" s="4">
        <v>3</v>
      </c>
      <c r="N61" s="4" t="s">
        <v>3</v>
      </c>
      <c r="O61" s="4">
        <v>-1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208</v>
      </c>
      <c r="F62" s="4">
        <f>Source!V39</f>
        <v>0</v>
      </c>
      <c r="G62" s="4" t="s">
        <v>122</v>
      </c>
      <c r="H62" s="4" t="s">
        <v>123</v>
      </c>
      <c r="I62" s="4"/>
      <c r="J62" s="4"/>
      <c r="K62" s="4">
        <v>208</v>
      </c>
      <c r="L62" s="4">
        <v>22</v>
      </c>
      <c r="M62" s="4">
        <v>3</v>
      </c>
      <c r="N62" s="4" t="s">
        <v>3</v>
      </c>
      <c r="O62" s="4">
        <v>-1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209</v>
      </c>
      <c r="F63" s="4">
        <f>ROUND(Source!W39,O63)</f>
        <v>0</v>
      </c>
      <c r="G63" s="4" t="s">
        <v>124</v>
      </c>
      <c r="H63" s="4" t="s">
        <v>125</v>
      </c>
      <c r="I63" s="4"/>
      <c r="J63" s="4"/>
      <c r="K63" s="4">
        <v>209</v>
      </c>
      <c r="L63" s="4">
        <v>23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233</v>
      </c>
      <c r="F64" s="4">
        <f>ROUND(Source!BD39,O64)</f>
        <v>0</v>
      </c>
      <c r="G64" s="4" t="s">
        <v>126</v>
      </c>
      <c r="H64" s="4" t="s">
        <v>127</v>
      </c>
      <c r="I64" s="4"/>
      <c r="J64" s="4"/>
      <c r="K64" s="4">
        <v>233</v>
      </c>
      <c r="L64" s="4">
        <v>24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210</v>
      </c>
      <c r="F65" s="4">
        <f>ROUND(Source!X39,O65)</f>
        <v>26443.54</v>
      </c>
      <c r="G65" s="4" t="s">
        <v>128</v>
      </c>
      <c r="H65" s="4" t="s">
        <v>129</v>
      </c>
      <c r="I65" s="4"/>
      <c r="J65" s="4"/>
      <c r="K65" s="4">
        <v>210</v>
      </c>
      <c r="L65" s="4">
        <v>25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211</v>
      </c>
      <c r="F66" s="4">
        <f>ROUND(Source!Y39,O66)</f>
        <v>14080.35</v>
      </c>
      <c r="G66" s="4" t="s">
        <v>130</v>
      </c>
      <c r="H66" s="4" t="s">
        <v>131</v>
      </c>
      <c r="I66" s="4"/>
      <c r="J66" s="4"/>
      <c r="K66" s="4">
        <v>211</v>
      </c>
      <c r="L66" s="4">
        <v>26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224</v>
      </c>
      <c r="F67" s="4">
        <f>ROUND(Source!AR39,O67)</f>
        <v>99324.12</v>
      </c>
      <c r="G67" s="4" t="s">
        <v>132</v>
      </c>
      <c r="H67" s="4" t="s">
        <v>133</v>
      </c>
      <c r="I67" s="4"/>
      <c r="J67" s="4"/>
      <c r="K67" s="4">
        <v>224</v>
      </c>
      <c r="L67" s="4">
        <v>27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9" spans="1:245" x14ac:dyDescent="0.2">
      <c r="A69" s="1">
        <v>4</v>
      </c>
      <c r="B69" s="1">
        <v>1</v>
      </c>
      <c r="C69" s="1"/>
      <c r="D69" s="1">
        <f>ROW(A83)</f>
        <v>83</v>
      </c>
      <c r="E69" s="1"/>
      <c r="F69" s="1" t="s">
        <v>21</v>
      </c>
      <c r="G69" s="1" t="s">
        <v>134</v>
      </c>
      <c r="H69" s="1" t="s">
        <v>3</v>
      </c>
      <c r="I69" s="1">
        <v>0</v>
      </c>
      <c r="J69" s="1"/>
      <c r="K69" s="1">
        <v>-1</v>
      </c>
      <c r="L69" s="1"/>
      <c r="M69" s="1" t="s">
        <v>3</v>
      </c>
      <c r="N69" s="1"/>
      <c r="O69" s="1"/>
      <c r="P69" s="1"/>
      <c r="Q69" s="1"/>
      <c r="R69" s="1"/>
      <c r="S69" s="1">
        <v>0</v>
      </c>
      <c r="T69" s="1"/>
      <c r="U69" s="1" t="s">
        <v>3</v>
      </c>
      <c r="V69" s="1">
        <v>0</v>
      </c>
      <c r="W69" s="1"/>
      <c r="X69" s="1"/>
      <c r="Y69" s="1"/>
      <c r="Z69" s="1"/>
      <c r="AA69" s="1"/>
      <c r="AB69" s="1" t="s">
        <v>3</v>
      </c>
      <c r="AC69" s="1" t="s">
        <v>3</v>
      </c>
      <c r="AD69" s="1" t="s">
        <v>3</v>
      </c>
      <c r="AE69" s="1" t="s">
        <v>3</v>
      </c>
      <c r="AF69" s="1" t="s">
        <v>3</v>
      </c>
      <c r="AG69" s="1" t="s">
        <v>3</v>
      </c>
      <c r="AH69" s="1"/>
      <c r="AI69" s="1"/>
      <c r="AJ69" s="1"/>
      <c r="AK69" s="1"/>
      <c r="AL69" s="1"/>
      <c r="AM69" s="1"/>
      <c r="AN69" s="1"/>
      <c r="AO69" s="1"/>
      <c r="AP69" s="1" t="s">
        <v>3</v>
      </c>
      <c r="AQ69" s="1" t="s">
        <v>3</v>
      </c>
      <c r="AR69" s="1" t="s">
        <v>3</v>
      </c>
      <c r="AS69" s="1"/>
      <c r="AT69" s="1"/>
      <c r="AU69" s="1"/>
      <c r="AV69" s="1"/>
      <c r="AW69" s="1"/>
      <c r="AX69" s="1"/>
      <c r="AY69" s="1"/>
      <c r="AZ69" s="1" t="s">
        <v>3</v>
      </c>
      <c r="BA69" s="1"/>
      <c r="BB69" s="1" t="s">
        <v>3</v>
      </c>
      <c r="BC69" s="1" t="s">
        <v>3</v>
      </c>
      <c r="BD69" s="1" t="s">
        <v>3</v>
      </c>
      <c r="BE69" s="1" t="s">
        <v>3</v>
      </c>
      <c r="BF69" s="1" t="s">
        <v>3</v>
      </c>
      <c r="BG69" s="1" t="s">
        <v>3</v>
      </c>
      <c r="BH69" s="1" t="s">
        <v>3</v>
      </c>
      <c r="BI69" s="1" t="s">
        <v>3</v>
      </c>
      <c r="BJ69" s="1" t="s">
        <v>3</v>
      </c>
      <c r="BK69" s="1" t="s">
        <v>3</v>
      </c>
      <c r="BL69" s="1" t="s">
        <v>3</v>
      </c>
      <c r="BM69" s="1" t="s">
        <v>3</v>
      </c>
      <c r="BN69" s="1" t="s">
        <v>3</v>
      </c>
      <c r="BO69" s="1" t="s">
        <v>3</v>
      </c>
      <c r="BP69" s="1" t="s">
        <v>3</v>
      </c>
      <c r="BQ69" s="1"/>
      <c r="BR69" s="1"/>
      <c r="BS69" s="1"/>
      <c r="BT69" s="1"/>
      <c r="BU69" s="1"/>
      <c r="BV69" s="1"/>
      <c r="BW69" s="1"/>
      <c r="BX69" s="1"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>
        <v>0</v>
      </c>
    </row>
    <row r="71" spans="1:245" x14ac:dyDescent="0.2">
      <c r="A71" s="2">
        <v>52</v>
      </c>
      <c r="B71" s="2">
        <f t="shared" ref="B71:G71" si="57">B83</f>
        <v>1</v>
      </c>
      <c r="C71" s="2">
        <f t="shared" si="57"/>
        <v>4</v>
      </c>
      <c r="D71" s="2">
        <f t="shared" si="57"/>
        <v>69</v>
      </c>
      <c r="E71" s="2">
        <f t="shared" si="57"/>
        <v>0</v>
      </c>
      <c r="F71" s="2" t="str">
        <f t="shared" si="57"/>
        <v>Новый раздел</v>
      </c>
      <c r="G71" s="2" t="str">
        <f t="shared" si="57"/>
        <v>Пусконаладочные работы.</v>
      </c>
      <c r="H71" s="2"/>
      <c r="I71" s="2"/>
      <c r="J71" s="2"/>
      <c r="K71" s="2"/>
      <c r="L71" s="2"/>
      <c r="M71" s="2"/>
      <c r="N71" s="2"/>
      <c r="O71" s="2">
        <f t="shared" ref="O71:AT71" si="58">O83</f>
        <v>40234.75</v>
      </c>
      <c r="P71" s="2">
        <f t="shared" si="58"/>
        <v>0</v>
      </c>
      <c r="Q71" s="2">
        <f t="shared" si="58"/>
        <v>0</v>
      </c>
      <c r="R71" s="2">
        <f t="shared" si="58"/>
        <v>0</v>
      </c>
      <c r="S71" s="2">
        <f t="shared" si="58"/>
        <v>40234.75</v>
      </c>
      <c r="T71" s="2">
        <f t="shared" si="58"/>
        <v>0</v>
      </c>
      <c r="U71" s="2">
        <f t="shared" si="58"/>
        <v>107.50480000000002</v>
      </c>
      <c r="V71" s="2">
        <f t="shared" si="58"/>
        <v>0</v>
      </c>
      <c r="W71" s="2">
        <f t="shared" si="58"/>
        <v>0</v>
      </c>
      <c r="X71" s="2">
        <f t="shared" si="58"/>
        <v>27359.65</v>
      </c>
      <c r="Y71" s="2">
        <f t="shared" si="58"/>
        <v>16496.25</v>
      </c>
      <c r="Z71" s="2">
        <f t="shared" si="58"/>
        <v>0</v>
      </c>
      <c r="AA71" s="2">
        <f t="shared" si="58"/>
        <v>0</v>
      </c>
      <c r="AB71" s="2">
        <f t="shared" si="58"/>
        <v>40234.75</v>
      </c>
      <c r="AC71" s="2">
        <f t="shared" si="58"/>
        <v>0</v>
      </c>
      <c r="AD71" s="2">
        <f t="shared" si="58"/>
        <v>0</v>
      </c>
      <c r="AE71" s="2">
        <f t="shared" si="58"/>
        <v>0</v>
      </c>
      <c r="AF71" s="2">
        <f t="shared" si="58"/>
        <v>40234.75</v>
      </c>
      <c r="AG71" s="2">
        <f t="shared" si="58"/>
        <v>0</v>
      </c>
      <c r="AH71" s="2">
        <f t="shared" si="58"/>
        <v>107.50480000000002</v>
      </c>
      <c r="AI71" s="2">
        <f t="shared" si="58"/>
        <v>0</v>
      </c>
      <c r="AJ71" s="2">
        <f t="shared" si="58"/>
        <v>0</v>
      </c>
      <c r="AK71" s="2">
        <f t="shared" si="58"/>
        <v>27359.65</v>
      </c>
      <c r="AL71" s="2">
        <f t="shared" si="58"/>
        <v>16496.25</v>
      </c>
      <c r="AM71" s="2">
        <f t="shared" si="58"/>
        <v>0</v>
      </c>
      <c r="AN71" s="2">
        <f t="shared" si="58"/>
        <v>0</v>
      </c>
      <c r="AO71" s="2">
        <f t="shared" si="58"/>
        <v>0</v>
      </c>
      <c r="AP71" s="2">
        <f t="shared" si="58"/>
        <v>0</v>
      </c>
      <c r="AQ71" s="2">
        <f t="shared" si="58"/>
        <v>0</v>
      </c>
      <c r="AR71" s="2">
        <f t="shared" si="58"/>
        <v>84090.65</v>
      </c>
      <c r="AS71" s="2">
        <f t="shared" si="58"/>
        <v>0</v>
      </c>
      <c r="AT71" s="2">
        <f t="shared" si="58"/>
        <v>0</v>
      </c>
      <c r="AU71" s="2">
        <f t="shared" ref="AU71:BZ71" si="59">AU83</f>
        <v>84090.65</v>
      </c>
      <c r="AV71" s="2">
        <f t="shared" si="59"/>
        <v>0</v>
      </c>
      <c r="AW71" s="2">
        <f t="shared" si="59"/>
        <v>0</v>
      </c>
      <c r="AX71" s="2">
        <f t="shared" si="59"/>
        <v>0</v>
      </c>
      <c r="AY71" s="2">
        <f t="shared" si="59"/>
        <v>0</v>
      </c>
      <c r="AZ71" s="2">
        <f t="shared" si="59"/>
        <v>0</v>
      </c>
      <c r="BA71" s="2">
        <f t="shared" si="59"/>
        <v>0</v>
      </c>
      <c r="BB71" s="2">
        <f t="shared" si="59"/>
        <v>0</v>
      </c>
      <c r="BC71" s="2">
        <f t="shared" si="59"/>
        <v>0</v>
      </c>
      <c r="BD71" s="2">
        <f t="shared" si="59"/>
        <v>0</v>
      </c>
      <c r="BE71" s="2">
        <f t="shared" si="59"/>
        <v>0</v>
      </c>
      <c r="BF71" s="2">
        <f t="shared" si="59"/>
        <v>0</v>
      </c>
      <c r="BG71" s="2">
        <f t="shared" si="59"/>
        <v>0</v>
      </c>
      <c r="BH71" s="2">
        <f t="shared" si="59"/>
        <v>0</v>
      </c>
      <c r="BI71" s="2">
        <f t="shared" si="59"/>
        <v>0</v>
      </c>
      <c r="BJ71" s="2">
        <f t="shared" si="59"/>
        <v>0</v>
      </c>
      <c r="BK71" s="2">
        <f t="shared" si="59"/>
        <v>0</v>
      </c>
      <c r="BL71" s="2">
        <f t="shared" si="59"/>
        <v>0</v>
      </c>
      <c r="BM71" s="2">
        <f t="shared" si="59"/>
        <v>0</v>
      </c>
      <c r="BN71" s="2">
        <f t="shared" si="59"/>
        <v>0</v>
      </c>
      <c r="BO71" s="2">
        <f t="shared" si="59"/>
        <v>0</v>
      </c>
      <c r="BP71" s="2">
        <f t="shared" si="59"/>
        <v>0</v>
      </c>
      <c r="BQ71" s="2">
        <f t="shared" si="59"/>
        <v>0</v>
      </c>
      <c r="BR71" s="2">
        <f t="shared" si="59"/>
        <v>0</v>
      </c>
      <c r="BS71" s="2">
        <f t="shared" si="59"/>
        <v>0</v>
      </c>
      <c r="BT71" s="2">
        <f t="shared" si="59"/>
        <v>0</v>
      </c>
      <c r="BU71" s="2">
        <f t="shared" si="59"/>
        <v>0</v>
      </c>
      <c r="BV71" s="2">
        <f t="shared" si="59"/>
        <v>0</v>
      </c>
      <c r="BW71" s="2">
        <f t="shared" si="59"/>
        <v>0</v>
      </c>
      <c r="BX71" s="2">
        <f t="shared" si="59"/>
        <v>0</v>
      </c>
      <c r="BY71" s="2">
        <f t="shared" si="59"/>
        <v>0</v>
      </c>
      <c r="BZ71" s="2">
        <f t="shared" si="59"/>
        <v>0</v>
      </c>
      <c r="CA71" s="2">
        <f t="shared" ref="CA71:DF71" si="60">CA83</f>
        <v>84090.65</v>
      </c>
      <c r="CB71" s="2">
        <f t="shared" si="60"/>
        <v>0</v>
      </c>
      <c r="CC71" s="2">
        <f t="shared" si="60"/>
        <v>0</v>
      </c>
      <c r="CD71" s="2">
        <f t="shared" si="60"/>
        <v>84090.65</v>
      </c>
      <c r="CE71" s="2">
        <f t="shared" si="60"/>
        <v>0</v>
      </c>
      <c r="CF71" s="2">
        <f t="shared" si="60"/>
        <v>0</v>
      </c>
      <c r="CG71" s="2">
        <f t="shared" si="60"/>
        <v>0</v>
      </c>
      <c r="CH71" s="2">
        <f t="shared" si="60"/>
        <v>0</v>
      </c>
      <c r="CI71" s="2">
        <f t="shared" si="60"/>
        <v>0</v>
      </c>
      <c r="CJ71" s="2">
        <f t="shared" si="60"/>
        <v>0</v>
      </c>
      <c r="CK71" s="2">
        <f t="shared" si="60"/>
        <v>0</v>
      </c>
      <c r="CL71" s="2">
        <f t="shared" si="60"/>
        <v>0</v>
      </c>
      <c r="CM71" s="2">
        <f t="shared" si="60"/>
        <v>0</v>
      </c>
      <c r="CN71" s="2">
        <f t="shared" si="60"/>
        <v>0</v>
      </c>
      <c r="CO71" s="2">
        <f t="shared" si="60"/>
        <v>0</v>
      </c>
      <c r="CP71" s="2">
        <f t="shared" si="60"/>
        <v>0</v>
      </c>
      <c r="CQ71" s="2">
        <f t="shared" si="60"/>
        <v>0</v>
      </c>
      <c r="CR71" s="2">
        <f t="shared" si="60"/>
        <v>0</v>
      </c>
      <c r="CS71" s="2">
        <f t="shared" si="60"/>
        <v>0</v>
      </c>
      <c r="CT71" s="2">
        <f t="shared" si="60"/>
        <v>0</v>
      </c>
      <c r="CU71" s="2">
        <f t="shared" si="60"/>
        <v>0</v>
      </c>
      <c r="CV71" s="2">
        <f t="shared" si="60"/>
        <v>0</v>
      </c>
      <c r="CW71" s="2">
        <f t="shared" si="60"/>
        <v>0</v>
      </c>
      <c r="CX71" s="2">
        <f t="shared" si="60"/>
        <v>0</v>
      </c>
      <c r="CY71" s="2">
        <f t="shared" si="60"/>
        <v>0</v>
      </c>
      <c r="CZ71" s="2">
        <f t="shared" si="60"/>
        <v>0</v>
      </c>
      <c r="DA71" s="2">
        <f t="shared" si="60"/>
        <v>0</v>
      </c>
      <c r="DB71" s="2">
        <f t="shared" si="60"/>
        <v>0</v>
      </c>
      <c r="DC71" s="2">
        <f t="shared" si="60"/>
        <v>0</v>
      </c>
      <c r="DD71" s="2">
        <f t="shared" si="60"/>
        <v>0</v>
      </c>
      <c r="DE71" s="2">
        <f t="shared" si="60"/>
        <v>0</v>
      </c>
      <c r="DF71" s="2">
        <f t="shared" si="60"/>
        <v>0</v>
      </c>
      <c r="DG71" s="3">
        <f t="shared" ref="DG71:EL71" si="61">DG83</f>
        <v>0</v>
      </c>
      <c r="DH71" s="3">
        <f t="shared" si="61"/>
        <v>0</v>
      </c>
      <c r="DI71" s="3">
        <f t="shared" si="61"/>
        <v>0</v>
      </c>
      <c r="DJ71" s="3">
        <f t="shared" si="61"/>
        <v>0</v>
      </c>
      <c r="DK71" s="3">
        <f t="shared" si="61"/>
        <v>0</v>
      </c>
      <c r="DL71" s="3">
        <f t="shared" si="61"/>
        <v>0</v>
      </c>
      <c r="DM71" s="3">
        <f t="shared" si="61"/>
        <v>0</v>
      </c>
      <c r="DN71" s="3">
        <f t="shared" si="61"/>
        <v>0</v>
      </c>
      <c r="DO71" s="3">
        <f t="shared" si="61"/>
        <v>0</v>
      </c>
      <c r="DP71" s="3">
        <f t="shared" si="61"/>
        <v>0</v>
      </c>
      <c r="DQ71" s="3">
        <f t="shared" si="61"/>
        <v>0</v>
      </c>
      <c r="DR71" s="3">
        <f t="shared" si="61"/>
        <v>0</v>
      </c>
      <c r="DS71" s="3">
        <f t="shared" si="61"/>
        <v>0</v>
      </c>
      <c r="DT71" s="3">
        <f t="shared" si="61"/>
        <v>0</v>
      </c>
      <c r="DU71" s="3">
        <f t="shared" si="61"/>
        <v>0</v>
      </c>
      <c r="DV71" s="3">
        <f t="shared" si="61"/>
        <v>0</v>
      </c>
      <c r="DW71" s="3">
        <f t="shared" si="61"/>
        <v>0</v>
      </c>
      <c r="DX71" s="3">
        <f t="shared" si="61"/>
        <v>0</v>
      </c>
      <c r="DY71" s="3">
        <f t="shared" si="61"/>
        <v>0</v>
      </c>
      <c r="DZ71" s="3">
        <f t="shared" si="61"/>
        <v>0</v>
      </c>
      <c r="EA71" s="3">
        <f t="shared" si="61"/>
        <v>0</v>
      </c>
      <c r="EB71" s="3">
        <f t="shared" si="61"/>
        <v>0</v>
      </c>
      <c r="EC71" s="3">
        <f t="shared" si="61"/>
        <v>0</v>
      </c>
      <c r="ED71" s="3">
        <f t="shared" si="61"/>
        <v>0</v>
      </c>
      <c r="EE71" s="3">
        <f t="shared" si="61"/>
        <v>0</v>
      </c>
      <c r="EF71" s="3">
        <f t="shared" si="61"/>
        <v>0</v>
      </c>
      <c r="EG71" s="3">
        <f t="shared" si="61"/>
        <v>0</v>
      </c>
      <c r="EH71" s="3">
        <f t="shared" si="61"/>
        <v>0</v>
      </c>
      <c r="EI71" s="3">
        <f t="shared" si="61"/>
        <v>0</v>
      </c>
      <c r="EJ71" s="3">
        <f t="shared" si="61"/>
        <v>0</v>
      </c>
      <c r="EK71" s="3">
        <f t="shared" si="61"/>
        <v>0</v>
      </c>
      <c r="EL71" s="3">
        <f t="shared" si="61"/>
        <v>0</v>
      </c>
      <c r="EM71" s="3">
        <f t="shared" ref="EM71:FR71" si="62">EM83</f>
        <v>0</v>
      </c>
      <c r="EN71" s="3">
        <f t="shared" si="62"/>
        <v>0</v>
      </c>
      <c r="EO71" s="3">
        <f t="shared" si="62"/>
        <v>0</v>
      </c>
      <c r="EP71" s="3">
        <f t="shared" si="62"/>
        <v>0</v>
      </c>
      <c r="EQ71" s="3">
        <f t="shared" si="62"/>
        <v>0</v>
      </c>
      <c r="ER71" s="3">
        <f t="shared" si="62"/>
        <v>0</v>
      </c>
      <c r="ES71" s="3">
        <f t="shared" si="62"/>
        <v>0</v>
      </c>
      <c r="ET71" s="3">
        <f t="shared" si="62"/>
        <v>0</v>
      </c>
      <c r="EU71" s="3">
        <f t="shared" si="62"/>
        <v>0</v>
      </c>
      <c r="EV71" s="3">
        <f t="shared" si="62"/>
        <v>0</v>
      </c>
      <c r="EW71" s="3">
        <f t="shared" si="62"/>
        <v>0</v>
      </c>
      <c r="EX71" s="3">
        <f t="shared" si="62"/>
        <v>0</v>
      </c>
      <c r="EY71" s="3">
        <f t="shared" si="62"/>
        <v>0</v>
      </c>
      <c r="EZ71" s="3">
        <f t="shared" si="62"/>
        <v>0</v>
      </c>
      <c r="FA71" s="3">
        <f t="shared" si="62"/>
        <v>0</v>
      </c>
      <c r="FB71" s="3">
        <f t="shared" si="62"/>
        <v>0</v>
      </c>
      <c r="FC71" s="3">
        <f t="shared" si="62"/>
        <v>0</v>
      </c>
      <c r="FD71" s="3">
        <f t="shared" si="62"/>
        <v>0</v>
      </c>
      <c r="FE71" s="3">
        <f t="shared" si="62"/>
        <v>0</v>
      </c>
      <c r="FF71" s="3">
        <f t="shared" si="62"/>
        <v>0</v>
      </c>
      <c r="FG71" s="3">
        <f t="shared" si="62"/>
        <v>0</v>
      </c>
      <c r="FH71" s="3">
        <f t="shared" si="62"/>
        <v>0</v>
      </c>
      <c r="FI71" s="3">
        <f t="shared" si="62"/>
        <v>0</v>
      </c>
      <c r="FJ71" s="3">
        <f t="shared" si="62"/>
        <v>0</v>
      </c>
      <c r="FK71" s="3">
        <f t="shared" si="62"/>
        <v>0</v>
      </c>
      <c r="FL71" s="3">
        <f t="shared" si="62"/>
        <v>0</v>
      </c>
      <c r="FM71" s="3">
        <f t="shared" si="62"/>
        <v>0</v>
      </c>
      <c r="FN71" s="3">
        <f t="shared" si="62"/>
        <v>0</v>
      </c>
      <c r="FO71" s="3">
        <f t="shared" si="62"/>
        <v>0</v>
      </c>
      <c r="FP71" s="3">
        <f t="shared" si="62"/>
        <v>0</v>
      </c>
      <c r="FQ71" s="3">
        <f t="shared" si="62"/>
        <v>0</v>
      </c>
      <c r="FR71" s="3">
        <f t="shared" si="62"/>
        <v>0</v>
      </c>
      <c r="FS71" s="3">
        <f t="shared" ref="FS71:GX71" si="63">FS83</f>
        <v>0</v>
      </c>
      <c r="FT71" s="3">
        <f t="shared" si="63"/>
        <v>0</v>
      </c>
      <c r="FU71" s="3">
        <f t="shared" si="63"/>
        <v>0</v>
      </c>
      <c r="FV71" s="3">
        <f t="shared" si="63"/>
        <v>0</v>
      </c>
      <c r="FW71" s="3">
        <f t="shared" si="63"/>
        <v>0</v>
      </c>
      <c r="FX71" s="3">
        <f t="shared" si="63"/>
        <v>0</v>
      </c>
      <c r="FY71" s="3">
        <f t="shared" si="63"/>
        <v>0</v>
      </c>
      <c r="FZ71" s="3">
        <f t="shared" si="63"/>
        <v>0</v>
      </c>
      <c r="GA71" s="3">
        <f t="shared" si="63"/>
        <v>0</v>
      </c>
      <c r="GB71" s="3">
        <f t="shared" si="63"/>
        <v>0</v>
      </c>
      <c r="GC71" s="3">
        <f t="shared" si="63"/>
        <v>0</v>
      </c>
      <c r="GD71" s="3">
        <f t="shared" si="63"/>
        <v>0</v>
      </c>
      <c r="GE71" s="3">
        <f t="shared" si="63"/>
        <v>0</v>
      </c>
      <c r="GF71" s="3">
        <f t="shared" si="63"/>
        <v>0</v>
      </c>
      <c r="GG71" s="3">
        <f t="shared" si="63"/>
        <v>0</v>
      </c>
      <c r="GH71" s="3">
        <f t="shared" si="63"/>
        <v>0</v>
      </c>
      <c r="GI71" s="3">
        <f t="shared" si="63"/>
        <v>0</v>
      </c>
      <c r="GJ71" s="3">
        <f t="shared" si="63"/>
        <v>0</v>
      </c>
      <c r="GK71" s="3">
        <f t="shared" si="63"/>
        <v>0</v>
      </c>
      <c r="GL71" s="3">
        <f t="shared" si="63"/>
        <v>0</v>
      </c>
      <c r="GM71" s="3">
        <f t="shared" si="63"/>
        <v>0</v>
      </c>
      <c r="GN71" s="3">
        <f t="shared" si="63"/>
        <v>0</v>
      </c>
      <c r="GO71" s="3">
        <f t="shared" si="63"/>
        <v>0</v>
      </c>
      <c r="GP71" s="3">
        <f t="shared" si="63"/>
        <v>0</v>
      </c>
      <c r="GQ71" s="3">
        <f t="shared" si="63"/>
        <v>0</v>
      </c>
      <c r="GR71" s="3">
        <f t="shared" si="63"/>
        <v>0</v>
      </c>
      <c r="GS71" s="3">
        <f t="shared" si="63"/>
        <v>0</v>
      </c>
      <c r="GT71" s="3">
        <f t="shared" si="63"/>
        <v>0</v>
      </c>
      <c r="GU71" s="3">
        <f t="shared" si="63"/>
        <v>0</v>
      </c>
      <c r="GV71" s="3">
        <f t="shared" si="63"/>
        <v>0</v>
      </c>
      <c r="GW71" s="3">
        <f t="shared" si="63"/>
        <v>0</v>
      </c>
      <c r="GX71" s="3">
        <f t="shared" si="63"/>
        <v>0</v>
      </c>
    </row>
    <row r="73" spans="1:245" x14ac:dyDescent="0.2">
      <c r="A73">
        <v>17</v>
      </c>
      <c r="B73">
        <v>1</v>
      </c>
      <c r="E73" t="s">
        <v>135</v>
      </c>
      <c r="F73" t="s">
        <v>136</v>
      </c>
      <c r="G73" t="s">
        <v>137</v>
      </c>
      <c r="H73" t="s">
        <v>36</v>
      </c>
      <c r="I73">
        <v>7</v>
      </c>
      <c r="J73">
        <v>0</v>
      </c>
      <c r="O73">
        <f t="shared" ref="O73:O81" si="64">ROUND(CP73,2)</f>
        <v>15649.51</v>
      </c>
      <c r="P73">
        <f t="shared" ref="P73:P81" si="65">ROUND((ROUND((AC73*AW73*I73),2)*BC73),2)</f>
        <v>0</v>
      </c>
      <c r="Q73">
        <f t="shared" ref="Q73:Q81" si="66">(ROUND((ROUND(((ET73)*AV73*I73),2)*BB73),2)+ROUND((ROUND(((AE73-(EU73))*AV73*I73),2)*BS73),2))</f>
        <v>0</v>
      </c>
      <c r="R73">
        <f t="shared" ref="R73:R81" si="67">ROUND((ROUND((AE73*AV73*I73),2)*BS73),2)</f>
        <v>0</v>
      </c>
      <c r="S73">
        <f t="shared" ref="S73:S81" si="68">ROUND((ROUND((AF73*AV73*I73),2)*BA73),2)</f>
        <v>15649.51</v>
      </c>
      <c r="T73">
        <f t="shared" ref="T73:T81" si="69">ROUND(CU73*I73,2)</f>
        <v>0</v>
      </c>
      <c r="U73">
        <f t="shared" ref="U73:U81" si="70">CV73*I73</f>
        <v>39.312000000000005</v>
      </c>
      <c r="V73">
        <f t="shared" ref="V73:V81" si="71">CW73*I73</f>
        <v>0</v>
      </c>
      <c r="W73">
        <f t="shared" ref="W73:W81" si="72">ROUND(CX73*I73,2)</f>
        <v>0</v>
      </c>
      <c r="X73">
        <f t="shared" ref="X73:X81" si="73">ROUND(CY73,2)</f>
        <v>10641.67</v>
      </c>
      <c r="Y73">
        <f t="shared" ref="Y73:Y81" si="74">ROUND(CZ73,2)</f>
        <v>6416.3</v>
      </c>
      <c r="AA73">
        <v>23645517</v>
      </c>
      <c r="AB73">
        <f t="shared" ref="AB73:AB81" si="75">ROUND((AC73+AD73+AF73),6)</f>
        <v>90.074399999999997</v>
      </c>
      <c r="AC73">
        <f t="shared" ref="AC73:AC81" si="76">ROUND((ES73),6)</f>
        <v>0</v>
      </c>
      <c r="AD73">
        <f t="shared" ref="AD73:AD81" si="77">ROUND((((ET73)-(EU73))+AE73),6)</f>
        <v>0</v>
      </c>
      <c r="AE73">
        <f t="shared" ref="AE73:AE81" si="78">ROUND((EU73),6)</f>
        <v>0</v>
      </c>
      <c r="AF73">
        <f t="shared" ref="AF73:AF81" si="79">ROUND((((EV73*1.3)*0.8)),6)</f>
        <v>90.074399999999997</v>
      </c>
      <c r="AG73">
        <f t="shared" ref="AG73:AG81" si="80">ROUND((AP73),6)</f>
        <v>0</v>
      </c>
      <c r="AH73">
        <f t="shared" ref="AH73:AH81" si="81">(((EW73*1.3)*0.8))</f>
        <v>5.6160000000000005</v>
      </c>
      <c r="AI73">
        <f t="shared" ref="AI73:AI81" si="82">(EX73)</f>
        <v>0</v>
      </c>
      <c r="AJ73">
        <f t="shared" ref="AJ73:AJ81" si="83">(AS73)</f>
        <v>0</v>
      </c>
      <c r="AK73">
        <v>86.61</v>
      </c>
      <c r="AL73">
        <v>0</v>
      </c>
      <c r="AM73">
        <v>0</v>
      </c>
      <c r="AN73">
        <v>0</v>
      </c>
      <c r="AO73">
        <v>86.61</v>
      </c>
      <c r="AP73">
        <v>0</v>
      </c>
      <c r="AQ73">
        <v>5.4</v>
      </c>
      <c r="AR73">
        <v>0</v>
      </c>
      <c r="AS73">
        <v>0</v>
      </c>
      <c r="AT73">
        <v>68</v>
      </c>
      <c r="AU73">
        <v>41</v>
      </c>
      <c r="AV73">
        <v>1</v>
      </c>
      <c r="AW73">
        <v>1</v>
      </c>
      <c r="AZ73">
        <v>1</v>
      </c>
      <c r="BA73">
        <v>24.82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4</v>
      </c>
      <c r="BJ73" t="s">
        <v>138</v>
      </c>
      <c r="BM73">
        <v>381</v>
      </c>
      <c r="BN73">
        <v>0</v>
      </c>
      <c r="BO73" t="s">
        <v>3</v>
      </c>
      <c r="BP73">
        <v>0</v>
      </c>
      <c r="BQ73">
        <v>50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68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224</v>
      </c>
      <c r="CO73">
        <v>0</v>
      </c>
      <c r="CP73">
        <f t="shared" ref="CP73:CP81" si="84">(P73+Q73+S73)</f>
        <v>15649.51</v>
      </c>
      <c r="CQ73">
        <f t="shared" ref="CQ73:CQ81" si="85">ROUND((ROUND((AC73*AW73*1),2)*BC73),2)</f>
        <v>0</v>
      </c>
      <c r="CR73">
        <f t="shared" ref="CR73:CR81" si="86">(ROUND((ROUND(((ET73)*AV73*1),2)*BB73),2)+ROUND((ROUND(((AE73-(EU73))*AV73*1),2)*BS73),2))</f>
        <v>0</v>
      </c>
      <c r="CS73">
        <f t="shared" ref="CS73:CS81" si="87">ROUND((ROUND((AE73*AV73*1),2)*BS73),2)</f>
        <v>0</v>
      </c>
      <c r="CT73">
        <f t="shared" ref="CT73:CT81" si="88">ROUND((ROUND((AF73*AV73*1),2)*BA73),2)</f>
        <v>2235.54</v>
      </c>
      <c r="CU73">
        <f t="shared" ref="CU73:CU81" si="89">AG73</f>
        <v>0</v>
      </c>
      <c r="CV73">
        <f t="shared" ref="CV73:CV81" si="90">(AH73*AV73)</f>
        <v>5.6160000000000005</v>
      </c>
      <c r="CW73">
        <f t="shared" ref="CW73:CW81" si="91">AI73</f>
        <v>0</v>
      </c>
      <c r="CX73">
        <f t="shared" ref="CX73:CX81" si="92">AJ73</f>
        <v>0</v>
      </c>
      <c r="CY73">
        <f t="shared" ref="CY73:CY81" si="93">S73*(BZ73/100)</f>
        <v>10641.666800000001</v>
      </c>
      <c r="CZ73">
        <f t="shared" ref="CZ73:CZ81" si="94">S73*(CA73/100)</f>
        <v>6416.2990999999993</v>
      </c>
      <c r="DC73" t="s">
        <v>3</v>
      </c>
      <c r="DD73" t="s">
        <v>3</v>
      </c>
      <c r="DE73" t="s">
        <v>3</v>
      </c>
      <c r="DF73" t="s">
        <v>3</v>
      </c>
      <c r="DG73" t="s">
        <v>139</v>
      </c>
      <c r="DH73" t="s">
        <v>3</v>
      </c>
      <c r="DI73" t="s">
        <v>139</v>
      </c>
      <c r="DJ73" t="s">
        <v>3</v>
      </c>
      <c r="DK73" t="s">
        <v>3</v>
      </c>
      <c r="DL73" t="s">
        <v>3</v>
      </c>
      <c r="DM73" t="s">
        <v>3</v>
      </c>
      <c r="DN73">
        <v>75</v>
      </c>
      <c r="DO73">
        <v>70</v>
      </c>
      <c r="DP73">
        <v>1</v>
      </c>
      <c r="DQ73">
        <v>1</v>
      </c>
      <c r="DU73">
        <v>1010</v>
      </c>
      <c r="DV73" t="s">
        <v>36</v>
      </c>
      <c r="DW73" t="s">
        <v>36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22827222</v>
      </c>
      <c r="EF73">
        <v>50</v>
      </c>
      <c r="EG73" t="s">
        <v>140</v>
      </c>
      <c r="EH73">
        <v>0</v>
      </c>
      <c r="EI73" t="s">
        <v>3</v>
      </c>
      <c r="EJ73">
        <v>4</v>
      </c>
      <c r="EK73">
        <v>381</v>
      </c>
      <c r="EL73" t="s">
        <v>141</v>
      </c>
      <c r="EM73" t="s">
        <v>142</v>
      </c>
      <c r="EO73" t="s">
        <v>143</v>
      </c>
      <c r="EQ73">
        <v>0</v>
      </c>
      <c r="ER73">
        <v>86.61</v>
      </c>
      <c r="ES73">
        <v>0</v>
      </c>
      <c r="ET73">
        <v>0</v>
      </c>
      <c r="EU73">
        <v>0</v>
      </c>
      <c r="EV73">
        <v>86.61</v>
      </c>
      <c r="EW73">
        <v>5.4</v>
      </c>
      <c r="EX73">
        <v>0</v>
      </c>
      <c r="EY73">
        <v>0</v>
      </c>
      <c r="FQ73">
        <v>0</v>
      </c>
      <c r="FR73">
        <f t="shared" ref="FR73:FR81" si="95">ROUND(IF(AND(BH73=3,BI73=3),P73,0),2)</f>
        <v>0</v>
      </c>
      <c r="FS73">
        <v>0</v>
      </c>
      <c r="FX73">
        <v>75</v>
      </c>
      <c r="FY73">
        <v>70</v>
      </c>
      <c r="GA73" t="s">
        <v>3</v>
      </c>
      <c r="GD73">
        <v>0</v>
      </c>
      <c r="GF73">
        <v>-219381348</v>
      </c>
      <c r="GG73">
        <v>2</v>
      </c>
      <c r="GH73">
        <v>1</v>
      </c>
      <c r="GI73">
        <v>2</v>
      </c>
      <c r="GJ73">
        <v>0</v>
      </c>
      <c r="GK73">
        <f>ROUND(R73*(R12)/100,2)</f>
        <v>0</v>
      </c>
      <c r="GL73">
        <f t="shared" ref="GL73:GL81" si="96">ROUND(IF(AND(BH73=3,BI73=3,FS73&lt;&gt;0),P73,0),2)</f>
        <v>0</v>
      </c>
      <c r="GM73">
        <f t="shared" ref="GM73:GM81" si="97">ROUND(O73+X73+Y73+GK73,2)+GX73</f>
        <v>32707.48</v>
      </c>
      <c r="GN73">
        <f t="shared" ref="GN73:GN81" si="98">IF(OR(BI73=0,BI73=1),ROUND(O73+X73+Y73+GK73,2),0)</f>
        <v>0</v>
      </c>
      <c r="GO73">
        <f t="shared" ref="GO73:GO81" si="99">IF(BI73=2,ROUND(O73+X73+Y73+GK73,2),0)</f>
        <v>0</v>
      </c>
      <c r="GP73">
        <f t="shared" ref="GP73:GP81" si="100">IF(BI73=4,ROUND(O73+X73+Y73+GK73,2)+GX73,0)</f>
        <v>32707.48</v>
      </c>
      <c r="GR73">
        <v>0</v>
      </c>
      <c r="GS73">
        <v>0</v>
      </c>
      <c r="GT73">
        <v>0</v>
      </c>
      <c r="GU73" t="s">
        <v>3</v>
      </c>
      <c r="GV73">
        <f t="shared" ref="GV73:GV81" si="101">ROUND((GT73),6)</f>
        <v>0</v>
      </c>
      <c r="GW73">
        <v>1</v>
      </c>
      <c r="GX73">
        <f t="shared" ref="GX73:GX81" si="102">ROUND(HC73*I73,2)</f>
        <v>0</v>
      </c>
      <c r="HA73">
        <v>0</v>
      </c>
      <c r="HB73">
        <v>0</v>
      </c>
      <c r="HC73">
        <f t="shared" ref="HC73:HC81" si="103">GV73*GW73</f>
        <v>0</v>
      </c>
      <c r="HE73" t="s">
        <v>3</v>
      </c>
      <c r="HF73" t="s">
        <v>3</v>
      </c>
      <c r="IK73">
        <v>0</v>
      </c>
    </row>
    <row r="74" spans="1:245" x14ac:dyDescent="0.2">
      <c r="A74">
        <v>17</v>
      </c>
      <c r="B74">
        <v>1</v>
      </c>
      <c r="E74" t="s">
        <v>144</v>
      </c>
      <c r="F74" t="s">
        <v>145</v>
      </c>
      <c r="G74" t="s">
        <v>146</v>
      </c>
      <c r="H74" t="s">
        <v>36</v>
      </c>
      <c r="I74">
        <v>1</v>
      </c>
      <c r="J74">
        <v>0</v>
      </c>
      <c r="O74">
        <f t="shared" si="64"/>
        <v>1428.89</v>
      </c>
      <c r="P74">
        <f t="shared" si="65"/>
        <v>0</v>
      </c>
      <c r="Q74">
        <f t="shared" si="66"/>
        <v>0</v>
      </c>
      <c r="R74">
        <f t="shared" si="67"/>
        <v>0</v>
      </c>
      <c r="S74">
        <f t="shared" si="68"/>
        <v>1428.89</v>
      </c>
      <c r="T74">
        <f t="shared" si="69"/>
        <v>0</v>
      </c>
      <c r="U74">
        <f t="shared" si="70"/>
        <v>4.6800000000000006</v>
      </c>
      <c r="V74">
        <f t="shared" si="71"/>
        <v>0</v>
      </c>
      <c r="W74">
        <f t="shared" si="72"/>
        <v>0</v>
      </c>
      <c r="X74">
        <f t="shared" si="73"/>
        <v>971.65</v>
      </c>
      <c r="Y74">
        <f t="shared" si="74"/>
        <v>585.84</v>
      </c>
      <c r="AA74">
        <v>23645517</v>
      </c>
      <c r="AB74">
        <f t="shared" si="75"/>
        <v>57.574399999999997</v>
      </c>
      <c r="AC74">
        <f t="shared" si="76"/>
        <v>0</v>
      </c>
      <c r="AD74">
        <f t="shared" si="77"/>
        <v>0</v>
      </c>
      <c r="AE74">
        <f t="shared" si="78"/>
        <v>0</v>
      </c>
      <c r="AF74">
        <f t="shared" si="79"/>
        <v>57.574399999999997</v>
      </c>
      <c r="AG74">
        <f t="shared" si="80"/>
        <v>0</v>
      </c>
      <c r="AH74">
        <f t="shared" si="81"/>
        <v>4.6800000000000006</v>
      </c>
      <c r="AI74">
        <f t="shared" si="82"/>
        <v>0</v>
      </c>
      <c r="AJ74">
        <f t="shared" si="83"/>
        <v>0</v>
      </c>
      <c r="AK74">
        <v>55.36</v>
      </c>
      <c r="AL74">
        <v>0</v>
      </c>
      <c r="AM74">
        <v>0</v>
      </c>
      <c r="AN74">
        <v>0</v>
      </c>
      <c r="AO74">
        <v>55.36</v>
      </c>
      <c r="AP74">
        <v>0</v>
      </c>
      <c r="AQ74">
        <v>4.5</v>
      </c>
      <c r="AR74">
        <v>0</v>
      </c>
      <c r="AS74">
        <v>0</v>
      </c>
      <c r="AT74">
        <v>68</v>
      </c>
      <c r="AU74">
        <v>41</v>
      </c>
      <c r="AV74">
        <v>1</v>
      </c>
      <c r="AW74">
        <v>1</v>
      </c>
      <c r="AZ74">
        <v>1</v>
      </c>
      <c r="BA74">
        <v>24.82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4</v>
      </c>
      <c r="BJ74" t="s">
        <v>147</v>
      </c>
      <c r="BM74">
        <v>381</v>
      </c>
      <c r="BN74">
        <v>0</v>
      </c>
      <c r="BO74" t="s">
        <v>3</v>
      </c>
      <c r="BP74">
        <v>0</v>
      </c>
      <c r="BQ74">
        <v>50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68</v>
      </c>
      <c r="CA74">
        <v>41</v>
      </c>
      <c r="CE74">
        <v>30</v>
      </c>
      <c r="CF74">
        <v>0</v>
      </c>
      <c r="CG74">
        <v>0</v>
      </c>
      <c r="CM74">
        <v>0</v>
      </c>
      <c r="CN74" t="s">
        <v>224</v>
      </c>
      <c r="CO74">
        <v>0</v>
      </c>
      <c r="CP74">
        <f t="shared" si="84"/>
        <v>1428.89</v>
      </c>
      <c r="CQ74">
        <f t="shared" si="85"/>
        <v>0</v>
      </c>
      <c r="CR74">
        <f t="shared" si="86"/>
        <v>0</v>
      </c>
      <c r="CS74">
        <f t="shared" si="87"/>
        <v>0</v>
      </c>
      <c r="CT74">
        <f t="shared" si="88"/>
        <v>1428.89</v>
      </c>
      <c r="CU74">
        <f t="shared" si="89"/>
        <v>0</v>
      </c>
      <c r="CV74">
        <f t="shared" si="90"/>
        <v>4.6800000000000006</v>
      </c>
      <c r="CW74">
        <f t="shared" si="91"/>
        <v>0</v>
      </c>
      <c r="CX74">
        <f t="shared" si="92"/>
        <v>0</v>
      </c>
      <c r="CY74">
        <f t="shared" si="93"/>
        <v>971.64520000000016</v>
      </c>
      <c r="CZ74">
        <f t="shared" si="94"/>
        <v>585.84490000000005</v>
      </c>
      <c r="DC74" t="s">
        <v>3</v>
      </c>
      <c r="DD74" t="s">
        <v>3</v>
      </c>
      <c r="DE74" t="s">
        <v>3</v>
      </c>
      <c r="DF74" t="s">
        <v>3</v>
      </c>
      <c r="DG74" t="s">
        <v>139</v>
      </c>
      <c r="DH74" t="s">
        <v>3</v>
      </c>
      <c r="DI74" t="s">
        <v>139</v>
      </c>
      <c r="DJ74" t="s">
        <v>3</v>
      </c>
      <c r="DK74" t="s">
        <v>3</v>
      </c>
      <c r="DL74" t="s">
        <v>3</v>
      </c>
      <c r="DM74" t="s">
        <v>3</v>
      </c>
      <c r="DN74">
        <v>75</v>
      </c>
      <c r="DO74">
        <v>70</v>
      </c>
      <c r="DP74">
        <v>1</v>
      </c>
      <c r="DQ74">
        <v>1</v>
      </c>
      <c r="DU74">
        <v>1010</v>
      </c>
      <c r="DV74" t="s">
        <v>36</v>
      </c>
      <c r="DW74" t="s">
        <v>36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22827222</v>
      </c>
      <c r="EF74">
        <v>50</v>
      </c>
      <c r="EG74" t="s">
        <v>140</v>
      </c>
      <c r="EH74">
        <v>0</v>
      </c>
      <c r="EI74" t="s">
        <v>3</v>
      </c>
      <c r="EJ74">
        <v>4</v>
      </c>
      <c r="EK74">
        <v>381</v>
      </c>
      <c r="EL74" t="s">
        <v>141</v>
      </c>
      <c r="EM74" t="s">
        <v>142</v>
      </c>
      <c r="EO74" t="s">
        <v>143</v>
      </c>
      <c r="EQ74">
        <v>0</v>
      </c>
      <c r="ER74">
        <v>55.36</v>
      </c>
      <c r="ES74">
        <v>0</v>
      </c>
      <c r="ET74">
        <v>0</v>
      </c>
      <c r="EU74">
        <v>0</v>
      </c>
      <c r="EV74">
        <v>55.36</v>
      </c>
      <c r="EW74">
        <v>4.5</v>
      </c>
      <c r="EX74">
        <v>0</v>
      </c>
      <c r="EY74">
        <v>0</v>
      </c>
      <c r="FQ74">
        <v>0</v>
      </c>
      <c r="FR74">
        <f t="shared" si="95"/>
        <v>0</v>
      </c>
      <c r="FS74">
        <v>0</v>
      </c>
      <c r="FX74">
        <v>75</v>
      </c>
      <c r="FY74">
        <v>70</v>
      </c>
      <c r="GA74" t="s">
        <v>3</v>
      </c>
      <c r="GD74">
        <v>0</v>
      </c>
      <c r="GF74">
        <v>-943635207</v>
      </c>
      <c r="GG74">
        <v>2</v>
      </c>
      <c r="GH74">
        <v>1</v>
      </c>
      <c r="GI74">
        <v>2</v>
      </c>
      <c r="GJ74">
        <v>0</v>
      </c>
      <c r="GK74">
        <f>ROUND(R74*(R12)/100,2)</f>
        <v>0</v>
      </c>
      <c r="GL74">
        <f t="shared" si="96"/>
        <v>0</v>
      </c>
      <c r="GM74">
        <f t="shared" si="97"/>
        <v>2986.38</v>
      </c>
      <c r="GN74">
        <f t="shared" si="98"/>
        <v>0</v>
      </c>
      <c r="GO74">
        <f t="shared" si="99"/>
        <v>0</v>
      </c>
      <c r="GP74">
        <f t="shared" si="100"/>
        <v>2986.38</v>
      </c>
      <c r="GR74">
        <v>0</v>
      </c>
      <c r="GS74">
        <v>0</v>
      </c>
      <c r="GT74">
        <v>0</v>
      </c>
      <c r="GU74" t="s">
        <v>3</v>
      </c>
      <c r="GV74">
        <f t="shared" si="101"/>
        <v>0</v>
      </c>
      <c r="GW74">
        <v>1</v>
      </c>
      <c r="GX74">
        <f t="shared" si="102"/>
        <v>0</v>
      </c>
      <c r="HA74">
        <v>0</v>
      </c>
      <c r="HB74">
        <v>0</v>
      </c>
      <c r="HC74">
        <f t="shared" si="103"/>
        <v>0</v>
      </c>
      <c r="HE74" t="s">
        <v>3</v>
      </c>
      <c r="HF74" t="s">
        <v>3</v>
      </c>
      <c r="IK74">
        <v>0</v>
      </c>
    </row>
    <row r="75" spans="1:245" x14ac:dyDescent="0.2">
      <c r="A75">
        <v>17</v>
      </c>
      <c r="B75">
        <v>1</v>
      </c>
      <c r="E75" t="s">
        <v>148</v>
      </c>
      <c r="F75" t="s">
        <v>149</v>
      </c>
      <c r="G75" t="s">
        <v>150</v>
      </c>
      <c r="H75" t="s">
        <v>151</v>
      </c>
      <c r="I75">
        <v>3</v>
      </c>
      <c r="J75">
        <v>0</v>
      </c>
      <c r="O75">
        <f t="shared" si="64"/>
        <v>8135.04</v>
      </c>
      <c r="P75">
        <f t="shared" si="65"/>
        <v>0</v>
      </c>
      <c r="Q75">
        <f t="shared" si="66"/>
        <v>0</v>
      </c>
      <c r="R75">
        <f t="shared" si="67"/>
        <v>0</v>
      </c>
      <c r="S75">
        <f t="shared" si="68"/>
        <v>8135.04</v>
      </c>
      <c r="T75">
        <f t="shared" si="69"/>
        <v>0</v>
      </c>
      <c r="U75">
        <f t="shared" si="70"/>
        <v>25.271999999999998</v>
      </c>
      <c r="V75">
        <f t="shared" si="71"/>
        <v>0</v>
      </c>
      <c r="W75">
        <f t="shared" si="72"/>
        <v>0</v>
      </c>
      <c r="X75">
        <f t="shared" si="73"/>
        <v>5531.83</v>
      </c>
      <c r="Y75">
        <f t="shared" si="74"/>
        <v>3335.37</v>
      </c>
      <c r="AA75">
        <v>23645517</v>
      </c>
      <c r="AB75">
        <f t="shared" si="75"/>
        <v>126.5368</v>
      </c>
      <c r="AC75">
        <f t="shared" si="76"/>
        <v>0</v>
      </c>
      <c r="AD75">
        <f t="shared" si="77"/>
        <v>0</v>
      </c>
      <c r="AE75">
        <f t="shared" si="78"/>
        <v>0</v>
      </c>
      <c r="AF75">
        <f t="shared" si="79"/>
        <v>126.5368</v>
      </c>
      <c r="AG75">
        <f t="shared" si="80"/>
        <v>0</v>
      </c>
      <c r="AH75">
        <f t="shared" si="81"/>
        <v>8.4239999999999995</v>
      </c>
      <c r="AI75">
        <f t="shared" si="82"/>
        <v>0</v>
      </c>
      <c r="AJ75">
        <f t="shared" si="83"/>
        <v>0</v>
      </c>
      <c r="AK75">
        <v>121.67</v>
      </c>
      <c r="AL75">
        <v>0</v>
      </c>
      <c r="AM75">
        <v>0</v>
      </c>
      <c r="AN75">
        <v>0</v>
      </c>
      <c r="AO75">
        <v>121.67</v>
      </c>
      <c r="AP75">
        <v>0</v>
      </c>
      <c r="AQ75">
        <v>8.1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21.43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152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224</v>
      </c>
      <c r="CO75">
        <v>0</v>
      </c>
      <c r="CP75">
        <f t="shared" si="84"/>
        <v>8135.04</v>
      </c>
      <c r="CQ75">
        <f t="shared" si="85"/>
        <v>0</v>
      </c>
      <c r="CR75">
        <f t="shared" si="86"/>
        <v>0</v>
      </c>
      <c r="CS75">
        <f t="shared" si="87"/>
        <v>0</v>
      </c>
      <c r="CT75">
        <f t="shared" si="88"/>
        <v>2711.75</v>
      </c>
      <c r="CU75">
        <f t="shared" si="89"/>
        <v>0</v>
      </c>
      <c r="CV75">
        <f t="shared" si="90"/>
        <v>8.4239999999999995</v>
      </c>
      <c r="CW75">
        <f t="shared" si="91"/>
        <v>0</v>
      </c>
      <c r="CX75">
        <f t="shared" si="92"/>
        <v>0</v>
      </c>
      <c r="CY75">
        <f t="shared" si="93"/>
        <v>5531.8272000000006</v>
      </c>
      <c r="CZ75">
        <f t="shared" si="94"/>
        <v>3335.3663999999999</v>
      </c>
      <c r="DC75" t="s">
        <v>3</v>
      </c>
      <c r="DD75" t="s">
        <v>3</v>
      </c>
      <c r="DE75" t="s">
        <v>3</v>
      </c>
      <c r="DF75" t="s">
        <v>3</v>
      </c>
      <c r="DG75" t="s">
        <v>139</v>
      </c>
      <c r="DH75" t="s">
        <v>3</v>
      </c>
      <c r="DI75" t="s">
        <v>139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1013</v>
      </c>
      <c r="DV75" t="s">
        <v>151</v>
      </c>
      <c r="DW75" t="s">
        <v>151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140</v>
      </c>
      <c r="EH75">
        <v>0</v>
      </c>
      <c r="EI75" t="s">
        <v>3</v>
      </c>
      <c r="EJ75">
        <v>4</v>
      </c>
      <c r="EK75">
        <v>381</v>
      </c>
      <c r="EL75" t="s">
        <v>141</v>
      </c>
      <c r="EM75" t="s">
        <v>142</v>
      </c>
      <c r="EO75" t="s">
        <v>143</v>
      </c>
      <c r="EQ75">
        <v>0</v>
      </c>
      <c r="ER75">
        <v>121.67</v>
      </c>
      <c r="ES75">
        <v>0</v>
      </c>
      <c r="ET75">
        <v>0</v>
      </c>
      <c r="EU75">
        <v>0</v>
      </c>
      <c r="EV75">
        <v>121.67</v>
      </c>
      <c r="EW75">
        <v>8.1</v>
      </c>
      <c r="EX75">
        <v>0</v>
      </c>
      <c r="EY75">
        <v>0</v>
      </c>
      <c r="FQ75">
        <v>0</v>
      </c>
      <c r="FR75">
        <f t="shared" si="95"/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337154466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si="96"/>
        <v>0</v>
      </c>
      <c r="GM75">
        <f t="shared" si="97"/>
        <v>17002.240000000002</v>
      </c>
      <c r="GN75">
        <f t="shared" si="98"/>
        <v>0</v>
      </c>
      <c r="GO75">
        <f t="shared" si="99"/>
        <v>0</v>
      </c>
      <c r="GP75">
        <f t="shared" si="100"/>
        <v>17002.240000000002</v>
      </c>
      <c r="GR75">
        <v>0</v>
      </c>
      <c r="GS75">
        <v>3</v>
      </c>
      <c r="GT75">
        <v>0</v>
      </c>
      <c r="GU75" t="s">
        <v>3</v>
      </c>
      <c r="GV75">
        <f t="shared" si="101"/>
        <v>0</v>
      </c>
      <c r="GW75">
        <v>1</v>
      </c>
      <c r="GX75">
        <f t="shared" si="102"/>
        <v>0</v>
      </c>
      <c r="HA75">
        <v>0</v>
      </c>
      <c r="HB75">
        <v>0</v>
      </c>
      <c r="HC75">
        <f t="shared" si="103"/>
        <v>0</v>
      </c>
      <c r="HE75" t="s">
        <v>3</v>
      </c>
      <c r="HF75" t="s">
        <v>3</v>
      </c>
      <c r="IK75">
        <v>0</v>
      </c>
    </row>
    <row r="76" spans="1:245" x14ac:dyDescent="0.2">
      <c r="A76">
        <v>17</v>
      </c>
      <c r="B76">
        <v>1</v>
      </c>
      <c r="E76" t="s">
        <v>153</v>
      </c>
      <c r="F76" t="s">
        <v>154</v>
      </c>
      <c r="G76" t="s">
        <v>155</v>
      </c>
      <c r="H76" t="s">
        <v>156</v>
      </c>
      <c r="I76">
        <f>ROUND(20,9)</f>
        <v>20</v>
      </c>
      <c r="J76">
        <v>0</v>
      </c>
      <c r="O76">
        <f t="shared" si="64"/>
        <v>1223.6300000000001</v>
      </c>
      <c r="P76">
        <f t="shared" si="65"/>
        <v>0</v>
      </c>
      <c r="Q76">
        <f t="shared" si="66"/>
        <v>0</v>
      </c>
      <c r="R76">
        <f t="shared" si="67"/>
        <v>0</v>
      </c>
      <c r="S76">
        <f t="shared" si="68"/>
        <v>1223.6300000000001</v>
      </c>
      <c r="T76">
        <f t="shared" si="69"/>
        <v>0</v>
      </c>
      <c r="U76">
        <f t="shared" si="70"/>
        <v>3.1200000000000006</v>
      </c>
      <c r="V76">
        <f t="shared" si="71"/>
        <v>0</v>
      </c>
      <c r="W76">
        <f t="shared" si="72"/>
        <v>0</v>
      </c>
      <c r="X76">
        <f t="shared" si="73"/>
        <v>832.07</v>
      </c>
      <c r="Y76">
        <f t="shared" si="74"/>
        <v>501.69</v>
      </c>
      <c r="AA76">
        <v>23645517</v>
      </c>
      <c r="AB76">
        <f t="shared" si="75"/>
        <v>2.4647999999999999</v>
      </c>
      <c r="AC76">
        <f t="shared" si="76"/>
        <v>0</v>
      </c>
      <c r="AD76">
        <f t="shared" si="77"/>
        <v>0</v>
      </c>
      <c r="AE76">
        <f t="shared" si="78"/>
        <v>0</v>
      </c>
      <c r="AF76">
        <f t="shared" si="79"/>
        <v>2.4647999999999999</v>
      </c>
      <c r="AG76">
        <f t="shared" si="80"/>
        <v>0</v>
      </c>
      <c r="AH76">
        <f t="shared" si="81"/>
        <v>0.15600000000000003</v>
      </c>
      <c r="AI76">
        <f t="shared" si="82"/>
        <v>0</v>
      </c>
      <c r="AJ76">
        <f t="shared" si="83"/>
        <v>0</v>
      </c>
      <c r="AK76">
        <v>2.37</v>
      </c>
      <c r="AL76">
        <v>0</v>
      </c>
      <c r="AM76">
        <v>0</v>
      </c>
      <c r="AN76">
        <v>0</v>
      </c>
      <c r="AO76">
        <v>2.37</v>
      </c>
      <c r="AP76">
        <v>0</v>
      </c>
      <c r="AQ76">
        <v>0.15</v>
      </c>
      <c r="AR76">
        <v>0</v>
      </c>
      <c r="AS76">
        <v>0</v>
      </c>
      <c r="AT76">
        <v>68</v>
      </c>
      <c r="AU76">
        <v>41</v>
      </c>
      <c r="AV76">
        <v>1</v>
      </c>
      <c r="AW76">
        <v>1</v>
      </c>
      <c r="AZ76">
        <v>1</v>
      </c>
      <c r="BA76">
        <v>24.82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157</v>
      </c>
      <c r="BM76">
        <v>381</v>
      </c>
      <c r="BN76">
        <v>0</v>
      </c>
      <c r="BO76" t="s">
        <v>3</v>
      </c>
      <c r="BP76">
        <v>0</v>
      </c>
      <c r="BQ76">
        <v>50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68</v>
      </c>
      <c r="CA76">
        <v>41</v>
      </c>
      <c r="CE76">
        <v>30</v>
      </c>
      <c r="CF76">
        <v>0</v>
      </c>
      <c r="CG76">
        <v>0</v>
      </c>
      <c r="CM76">
        <v>0</v>
      </c>
      <c r="CN76" t="s">
        <v>224</v>
      </c>
      <c r="CO76">
        <v>0</v>
      </c>
      <c r="CP76">
        <f t="shared" si="84"/>
        <v>1223.6300000000001</v>
      </c>
      <c r="CQ76">
        <f t="shared" si="85"/>
        <v>0</v>
      </c>
      <c r="CR76">
        <f t="shared" si="86"/>
        <v>0</v>
      </c>
      <c r="CS76">
        <f t="shared" si="87"/>
        <v>0</v>
      </c>
      <c r="CT76">
        <f t="shared" si="88"/>
        <v>61.06</v>
      </c>
      <c r="CU76">
        <f t="shared" si="89"/>
        <v>0</v>
      </c>
      <c r="CV76">
        <f t="shared" si="90"/>
        <v>0.15600000000000003</v>
      </c>
      <c r="CW76">
        <f t="shared" si="91"/>
        <v>0</v>
      </c>
      <c r="CX76">
        <f t="shared" si="92"/>
        <v>0</v>
      </c>
      <c r="CY76">
        <f t="shared" si="93"/>
        <v>832.06840000000011</v>
      </c>
      <c r="CZ76">
        <f t="shared" si="94"/>
        <v>501.68830000000003</v>
      </c>
      <c r="DC76" t="s">
        <v>3</v>
      </c>
      <c r="DD76" t="s">
        <v>3</v>
      </c>
      <c r="DE76" t="s">
        <v>3</v>
      </c>
      <c r="DF76" t="s">
        <v>3</v>
      </c>
      <c r="DG76" t="s">
        <v>139</v>
      </c>
      <c r="DH76" t="s">
        <v>3</v>
      </c>
      <c r="DI76" t="s">
        <v>139</v>
      </c>
      <c r="DJ76" t="s">
        <v>3</v>
      </c>
      <c r="DK76" t="s">
        <v>3</v>
      </c>
      <c r="DL76" t="s">
        <v>3</v>
      </c>
      <c r="DM76" t="s">
        <v>3</v>
      </c>
      <c r="DN76">
        <v>75</v>
      </c>
      <c r="DO76">
        <v>70</v>
      </c>
      <c r="DP76">
        <v>1</v>
      </c>
      <c r="DQ76">
        <v>1</v>
      </c>
      <c r="DU76">
        <v>1013</v>
      </c>
      <c r="DV76" t="s">
        <v>156</v>
      </c>
      <c r="DW76" t="s">
        <v>156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22827222</v>
      </c>
      <c r="EF76">
        <v>50</v>
      </c>
      <c r="EG76" t="s">
        <v>140</v>
      </c>
      <c r="EH76">
        <v>0</v>
      </c>
      <c r="EI76" t="s">
        <v>3</v>
      </c>
      <c r="EJ76">
        <v>4</v>
      </c>
      <c r="EK76">
        <v>381</v>
      </c>
      <c r="EL76" t="s">
        <v>141</v>
      </c>
      <c r="EM76" t="s">
        <v>142</v>
      </c>
      <c r="EO76" t="s">
        <v>143</v>
      </c>
      <c r="EQ76">
        <v>0</v>
      </c>
      <c r="ER76">
        <v>2.37</v>
      </c>
      <c r="ES76">
        <v>0</v>
      </c>
      <c r="ET76">
        <v>0</v>
      </c>
      <c r="EU76">
        <v>0</v>
      </c>
      <c r="EV76">
        <v>2.37</v>
      </c>
      <c r="EW76">
        <v>0.15</v>
      </c>
      <c r="EX76">
        <v>0</v>
      </c>
      <c r="EY76">
        <v>0</v>
      </c>
      <c r="FQ76">
        <v>0</v>
      </c>
      <c r="FR76">
        <f t="shared" si="95"/>
        <v>0</v>
      </c>
      <c r="FS76">
        <v>0</v>
      </c>
      <c r="FX76">
        <v>75</v>
      </c>
      <c r="FY76">
        <v>70</v>
      </c>
      <c r="GA76" t="s">
        <v>3</v>
      </c>
      <c r="GD76">
        <v>0</v>
      </c>
      <c r="GF76">
        <v>1785522873</v>
      </c>
      <c r="GG76">
        <v>2</v>
      </c>
      <c r="GH76">
        <v>1</v>
      </c>
      <c r="GI76">
        <v>2</v>
      </c>
      <c r="GJ76">
        <v>0</v>
      </c>
      <c r="GK76">
        <f>ROUND(R76*(R12)/100,2)</f>
        <v>0</v>
      </c>
      <c r="GL76">
        <f t="shared" si="96"/>
        <v>0</v>
      </c>
      <c r="GM76">
        <f t="shared" si="97"/>
        <v>2557.39</v>
      </c>
      <c r="GN76">
        <f t="shared" si="98"/>
        <v>0</v>
      </c>
      <c r="GO76">
        <f t="shared" si="99"/>
        <v>0</v>
      </c>
      <c r="GP76">
        <f t="shared" si="100"/>
        <v>2557.39</v>
      </c>
      <c r="GR76">
        <v>0</v>
      </c>
      <c r="GS76">
        <v>0</v>
      </c>
      <c r="GT76">
        <v>0</v>
      </c>
      <c r="GU76" t="s">
        <v>3</v>
      </c>
      <c r="GV76">
        <f t="shared" si="101"/>
        <v>0</v>
      </c>
      <c r="GW76">
        <v>1</v>
      </c>
      <c r="GX76">
        <f t="shared" si="102"/>
        <v>0</v>
      </c>
      <c r="HA76">
        <v>0</v>
      </c>
      <c r="HB76">
        <v>0</v>
      </c>
      <c r="HC76">
        <f t="shared" si="103"/>
        <v>0</v>
      </c>
      <c r="HE76" t="s">
        <v>3</v>
      </c>
      <c r="HF76" t="s">
        <v>3</v>
      </c>
      <c r="IK76">
        <v>0</v>
      </c>
    </row>
    <row r="77" spans="1:245" x14ac:dyDescent="0.2">
      <c r="A77">
        <v>17</v>
      </c>
      <c r="B77">
        <v>1</v>
      </c>
      <c r="E77" t="s">
        <v>158</v>
      </c>
      <c r="F77" t="s">
        <v>159</v>
      </c>
      <c r="G77" t="s">
        <v>160</v>
      </c>
      <c r="H77" t="s">
        <v>161</v>
      </c>
      <c r="I77">
        <v>8</v>
      </c>
      <c r="J77">
        <v>0</v>
      </c>
      <c r="O77">
        <f t="shared" si="64"/>
        <v>3269.04</v>
      </c>
      <c r="P77">
        <f t="shared" si="65"/>
        <v>0</v>
      </c>
      <c r="Q77">
        <f t="shared" si="66"/>
        <v>0</v>
      </c>
      <c r="R77">
        <f t="shared" si="67"/>
        <v>0</v>
      </c>
      <c r="S77">
        <f t="shared" si="68"/>
        <v>3269.04</v>
      </c>
      <c r="T77">
        <f t="shared" si="69"/>
        <v>0</v>
      </c>
      <c r="U77">
        <f t="shared" si="70"/>
        <v>8.32</v>
      </c>
      <c r="V77">
        <f t="shared" si="71"/>
        <v>0</v>
      </c>
      <c r="W77">
        <f t="shared" si="72"/>
        <v>0</v>
      </c>
      <c r="X77">
        <f t="shared" si="73"/>
        <v>2222.9499999999998</v>
      </c>
      <c r="Y77">
        <f t="shared" si="74"/>
        <v>1340.31</v>
      </c>
      <c r="AA77">
        <v>23645517</v>
      </c>
      <c r="AB77">
        <f t="shared" si="75"/>
        <v>16.463200000000001</v>
      </c>
      <c r="AC77">
        <f t="shared" si="76"/>
        <v>0</v>
      </c>
      <c r="AD77">
        <f t="shared" si="77"/>
        <v>0</v>
      </c>
      <c r="AE77">
        <f t="shared" si="78"/>
        <v>0</v>
      </c>
      <c r="AF77">
        <f t="shared" si="79"/>
        <v>16.463200000000001</v>
      </c>
      <c r="AG77">
        <f t="shared" si="80"/>
        <v>0</v>
      </c>
      <c r="AH77">
        <f t="shared" si="81"/>
        <v>1.04</v>
      </c>
      <c r="AI77">
        <f t="shared" si="82"/>
        <v>0</v>
      </c>
      <c r="AJ77">
        <f t="shared" si="83"/>
        <v>0</v>
      </c>
      <c r="AK77">
        <v>15.83</v>
      </c>
      <c r="AL77">
        <v>0</v>
      </c>
      <c r="AM77">
        <v>0</v>
      </c>
      <c r="AN77">
        <v>0</v>
      </c>
      <c r="AO77">
        <v>15.83</v>
      </c>
      <c r="AP77">
        <v>0</v>
      </c>
      <c r="AQ77">
        <v>1</v>
      </c>
      <c r="AR77">
        <v>0</v>
      </c>
      <c r="AS77">
        <v>0</v>
      </c>
      <c r="AT77">
        <v>68</v>
      </c>
      <c r="AU77">
        <v>41</v>
      </c>
      <c r="AV77">
        <v>1</v>
      </c>
      <c r="AW77">
        <v>1</v>
      </c>
      <c r="AZ77">
        <v>1</v>
      </c>
      <c r="BA77">
        <v>24.82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162</v>
      </c>
      <c r="BM77">
        <v>381</v>
      </c>
      <c r="BN77">
        <v>0</v>
      </c>
      <c r="BO77" t="s">
        <v>3</v>
      </c>
      <c r="BP77">
        <v>0</v>
      </c>
      <c r="BQ77">
        <v>50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68</v>
      </c>
      <c r="CA77">
        <v>41</v>
      </c>
      <c r="CE77">
        <v>30</v>
      </c>
      <c r="CF77">
        <v>0</v>
      </c>
      <c r="CG77">
        <v>0</v>
      </c>
      <c r="CM77">
        <v>0</v>
      </c>
      <c r="CN77" t="s">
        <v>224</v>
      </c>
      <c r="CO77">
        <v>0</v>
      </c>
      <c r="CP77">
        <f t="shared" si="84"/>
        <v>3269.04</v>
      </c>
      <c r="CQ77">
        <f t="shared" si="85"/>
        <v>0</v>
      </c>
      <c r="CR77">
        <f t="shared" si="86"/>
        <v>0</v>
      </c>
      <c r="CS77">
        <f t="shared" si="87"/>
        <v>0</v>
      </c>
      <c r="CT77">
        <f t="shared" si="88"/>
        <v>408.54</v>
      </c>
      <c r="CU77">
        <f t="shared" si="89"/>
        <v>0</v>
      </c>
      <c r="CV77">
        <f t="shared" si="90"/>
        <v>1.04</v>
      </c>
      <c r="CW77">
        <f t="shared" si="91"/>
        <v>0</v>
      </c>
      <c r="CX77">
        <f t="shared" si="92"/>
        <v>0</v>
      </c>
      <c r="CY77">
        <f t="shared" si="93"/>
        <v>2222.9472000000001</v>
      </c>
      <c r="CZ77">
        <f t="shared" si="94"/>
        <v>1340.3063999999999</v>
      </c>
      <c r="DC77" t="s">
        <v>3</v>
      </c>
      <c r="DD77" t="s">
        <v>3</v>
      </c>
      <c r="DE77" t="s">
        <v>3</v>
      </c>
      <c r="DF77" t="s">
        <v>3</v>
      </c>
      <c r="DG77" t="s">
        <v>139</v>
      </c>
      <c r="DH77" t="s">
        <v>3</v>
      </c>
      <c r="DI77" t="s">
        <v>139</v>
      </c>
      <c r="DJ77" t="s">
        <v>3</v>
      </c>
      <c r="DK77" t="s">
        <v>3</v>
      </c>
      <c r="DL77" t="s">
        <v>3</v>
      </c>
      <c r="DM77" t="s">
        <v>3</v>
      </c>
      <c r="DN77">
        <v>75</v>
      </c>
      <c r="DO77">
        <v>70</v>
      </c>
      <c r="DP77">
        <v>1</v>
      </c>
      <c r="DQ77">
        <v>1</v>
      </c>
      <c r="DU77">
        <v>1013</v>
      </c>
      <c r="DV77" t="s">
        <v>161</v>
      </c>
      <c r="DW77" t="s">
        <v>161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22827222</v>
      </c>
      <c r="EF77">
        <v>50</v>
      </c>
      <c r="EG77" t="s">
        <v>140</v>
      </c>
      <c r="EH77">
        <v>0</v>
      </c>
      <c r="EI77" t="s">
        <v>3</v>
      </c>
      <c r="EJ77">
        <v>4</v>
      </c>
      <c r="EK77">
        <v>381</v>
      </c>
      <c r="EL77" t="s">
        <v>141</v>
      </c>
      <c r="EM77" t="s">
        <v>142</v>
      </c>
      <c r="EO77" t="s">
        <v>143</v>
      </c>
      <c r="EQ77">
        <v>0</v>
      </c>
      <c r="ER77">
        <v>15.83</v>
      </c>
      <c r="ES77">
        <v>0</v>
      </c>
      <c r="ET77">
        <v>0</v>
      </c>
      <c r="EU77">
        <v>0</v>
      </c>
      <c r="EV77">
        <v>15.83</v>
      </c>
      <c r="EW77">
        <v>1</v>
      </c>
      <c r="EX77">
        <v>0</v>
      </c>
      <c r="EY77">
        <v>0</v>
      </c>
      <c r="FQ77">
        <v>0</v>
      </c>
      <c r="FR77">
        <f t="shared" si="95"/>
        <v>0</v>
      </c>
      <c r="FS77">
        <v>0</v>
      </c>
      <c r="FX77">
        <v>75</v>
      </c>
      <c r="FY77">
        <v>70</v>
      </c>
      <c r="GA77" t="s">
        <v>3</v>
      </c>
      <c r="GD77">
        <v>0</v>
      </c>
      <c r="GF77">
        <v>-723712631</v>
      </c>
      <c r="GG77">
        <v>2</v>
      </c>
      <c r="GH77">
        <v>1</v>
      </c>
      <c r="GI77">
        <v>2</v>
      </c>
      <c r="GJ77">
        <v>0</v>
      </c>
      <c r="GK77">
        <f>ROUND(R77*(R12)/100,2)</f>
        <v>0</v>
      </c>
      <c r="GL77">
        <f t="shared" si="96"/>
        <v>0</v>
      </c>
      <c r="GM77">
        <f t="shared" si="97"/>
        <v>6832.3</v>
      </c>
      <c r="GN77">
        <f t="shared" si="98"/>
        <v>0</v>
      </c>
      <c r="GO77">
        <f t="shared" si="99"/>
        <v>0</v>
      </c>
      <c r="GP77">
        <f t="shared" si="100"/>
        <v>6832.3</v>
      </c>
      <c r="GR77">
        <v>0</v>
      </c>
      <c r="GS77">
        <v>0</v>
      </c>
      <c r="GT77">
        <v>0</v>
      </c>
      <c r="GU77" t="s">
        <v>3</v>
      </c>
      <c r="GV77">
        <f t="shared" si="101"/>
        <v>0</v>
      </c>
      <c r="GW77">
        <v>1</v>
      </c>
      <c r="GX77">
        <f t="shared" si="102"/>
        <v>0</v>
      </c>
      <c r="HA77">
        <v>0</v>
      </c>
      <c r="HB77">
        <v>0</v>
      </c>
      <c r="HC77">
        <f t="shared" si="103"/>
        <v>0</v>
      </c>
      <c r="HE77" t="s">
        <v>3</v>
      </c>
      <c r="HF77" t="s">
        <v>3</v>
      </c>
      <c r="IK77">
        <v>0</v>
      </c>
    </row>
    <row r="78" spans="1:245" x14ac:dyDescent="0.2">
      <c r="A78">
        <v>17</v>
      </c>
      <c r="B78">
        <v>1</v>
      </c>
      <c r="E78" t="s">
        <v>163</v>
      </c>
      <c r="F78" t="s">
        <v>164</v>
      </c>
      <c r="G78" t="s">
        <v>165</v>
      </c>
      <c r="H78" t="s">
        <v>166</v>
      </c>
      <c r="I78">
        <v>6</v>
      </c>
      <c r="J78">
        <v>0</v>
      </c>
      <c r="O78">
        <f t="shared" si="64"/>
        <v>2205.5100000000002</v>
      </c>
      <c r="P78">
        <f t="shared" si="65"/>
        <v>0</v>
      </c>
      <c r="Q78">
        <f t="shared" si="66"/>
        <v>0</v>
      </c>
      <c r="R78">
        <f t="shared" si="67"/>
        <v>0</v>
      </c>
      <c r="S78">
        <f t="shared" si="68"/>
        <v>2205.5100000000002</v>
      </c>
      <c r="T78">
        <f t="shared" si="69"/>
        <v>0</v>
      </c>
      <c r="U78">
        <f t="shared" si="70"/>
        <v>5.6160000000000014</v>
      </c>
      <c r="V78">
        <f t="shared" si="71"/>
        <v>0</v>
      </c>
      <c r="W78">
        <f t="shared" si="72"/>
        <v>0</v>
      </c>
      <c r="X78">
        <f t="shared" si="73"/>
        <v>1499.75</v>
      </c>
      <c r="Y78">
        <f t="shared" si="74"/>
        <v>904.26</v>
      </c>
      <c r="AA78">
        <v>23645517</v>
      </c>
      <c r="AB78">
        <f t="shared" si="75"/>
        <v>14.8096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14.8096</v>
      </c>
      <c r="AG78">
        <f t="shared" si="80"/>
        <v>0</v>
      </c>
      <c r="AH78">
        <f t="shared" si="81"/>
        <v>0.93600000000000017</v>
      </c>
      <c r="AI78">
        <f t="shared" si="82"/>
        <v>0</v>
      </c>
      <c r="AJ78">
        <f t="shared" si="83"/>
        <v>0</v>
      </c>
      <c r="AK78">
        <v>14.24</v>
      </c>
      <c r="AL78">
        <v>0</v>
      </c>
      <c r="AM78">
        <v>0</v>
      </c>
      <c r="AN78">
        <v>0</v>
      </c>
      <c r="AO78">
        <v>14.24</v>
      </c>
      <c r="AP78">
        <v>0</v>
      </c>
      <c r="AQ78">
        <v>0.9</v>
      </c>
      <c r="AR78">
        <v>0</v>
      </c>
      <c r="AS78">
        <v>0</v>
      </c>
      <c r="AT78">
        <v>68</v>
      </c>
      <c r="AU78">
        <v>41</v>
      </c>
      <c r="AV78">
        <v>1</v>
      </c>
      <c r="AW78">
        <v>1</v>
      </c>
      <c r="AZ78">
        <v>1</v>
      </c>
      <c r="BA78">
        <v>24.82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167</v>
      </c>
      <c r="BM78">
        <v>381</v>
      </c>
      <c r="BN78">
        <v>0</v>
      </c>
      <c r="BO78" t="s">
        <v>3</v>
      </c>
      <c r="BP78">
        <v>0</v>
      </c>
      <c r="BQ78">
        <v>50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68</v>
      </c>
      <c r="CA78">
        <v>41</v>
      </c>
      <c r="CE78">
        <v>30</v>
      </c>
      <c r="CF78">
        <v>0</v>
      </c>
      <c r="CG78">
        <v>0</v>
      </c>
      <c r="CM78">
        <v>0</v>
      </c>
      <c r="CN78" t="s">
        <v>224</v>
      </c>
      <c r="CO78">
        <v>0</v>
      </c>
      <c r="CP78">
        <f t="shared" si="84"/>
        <v>2205.5100000000002</v>
      </c>
      <c r="CQ78">
        <f t="shared" si="85"/>
        <v>0</v>
      </c>
      <c r="CR78">
        <f t="shared" si="86"/>
        <v>0</v>
      </c>
      <c r="CS78">
        <f t="shared" si="87"/>
        <v>0</v>
      </c>
      <c r="CT78">
        <f t="shared" si="88"/>
        <v>367.58</v>
      </c>
      <c r="CU78">
        <f t="shared" si="89"/>
        <v>0</v>
      </c>
      <c r="CV78">
        <f t="shared" si="90"/>
        <v>0.93600000000000017</v>
      </c>
      <c r="CW78">
        <f t="shared" si="91"/>
        <v>0</v>
      </c>
      <c r="CX78">
        <f t="shared" si="92"/>
        <v>0</v>
      </c>
      <c r="CY78">
        <f t="shared" si="93"/>
        <v>1499.7468000000003</v>
      </c>
      <c r="CZ78">
        <f t="shared" si="94"/>
        <v>904.25909999999999</v>
      </c>
      <c r="DC78" t="s">
        <v>3</v>
      </c>
      <c r="DD78" t="s">
        <v>3</v>
      </c>
      <c r="DE78" t="s">
        <v>3</v>
      </c>
      <c r="DF78" t="s">
        <v>3</v>
      </c>
      <c r="DG78" t="s">
        <v>139</v>
      </c>
      <c r="DH78" t="s">
        <v>3</v>
      </c>
      <c r="DI78" t="s">
        <v>139</v>
      </c>
      <c r="DJ78" t="s">
        <v>3</v>
      </c>
      <c r="DK78" t="s">
        <v>3</v>
      </c>
      <c r="DL78" t="s">
        <v>3</v>
      </c>
      <c r="DM78" t="s">
        <v>3</v>
      </c>
      <c r="DN78">
        <v>75</v>
      </c>
      <c r="DO78">
        <v>70</v>
      </c>
      <c r="DP78">
        <v>1</v>
      </c>
      <c r="DQ78">
        <v>1</v>
      </c>
      <c r="DU78">
        <v>1013</v>
      </c>
      <c r="DV78" t="s">
        <v>166</v>
      </c>
      <c r="DW78" t="s">
        <v>166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22827222</v>
      </c>
      <c r="EF78">
        <v>50</v>
      </c>
      <c r="EG78" t="s">
        <v>140</v>
      </c>
      <c r="EH78">
        <v>0</v>
      </c>
      <c r="EI78" t="s">
        <v>3</v>
      </c>
      <c r="EJ78">
        <v>4</v>
      </c>
      <c r="EK78">
        <v>381</v>
      </c>
      <c r="EL78" t="s">
        <v>141</v>
      </c>
      <c r="EM78" t="s">
        <v>142</v>
      </c>
      <c r="EO78" t="s">
        <v>143</v>
      </c>
      <c r="EQ78">
        <v>0</v>
      </c>
      <c r="ER78">
        <v>14.24</v>
      </c>
      <c r="ES78">
        <v>0</v>
      </c>
      <c r="ET78">
        <v>0</v>
      </c>
      <c r="EU78">
        <v>0</v>
      </c>
      <c r="EV78">
        <v>14.24</v>
      </c>
      <c r="EW78">
        <v>0.9</v>
      </c>
      <c r="EX78">
        <v>0</v>
      </c>
      <c r="EY78">
        <v>0</v>
      </c>
      <c r="FQ78">
        <v>0</v>
      </c>
      <c r="FR78">
        <f t="shared" si="95"/>
        <v>0</v>
      </c>
      <c r="FS78">
        <v>0</v>
      </c>
      <c r="FX78">
        <v>75</v>
      </c>
      <c r="FY78">
        <v>70</v>
      </c>
      <c r="GA78" t="s">
        <v>3</v>
      </c>
      <c r="GD78">
        <v>0</v>
      </c>
      <c r="GF78">
        <v>-1941331641</v>
      </c>
      <c r="GG78">
        <v>2</v>
      </c>
      <c r="GH78">
        <v>1</v>
      </c>
      <c r="GI78">
        <v>2</v>
      </c>
      <c r="GJ78">
        <v>0</v>
      </c>
      <c r="GK78">
        <f>ROUND(R78*(R12)/100,2)</f>
        <v>0</v>
      </c>
      <c r="GL78">
        <f t="shared" si="96"/>
        <v>0</v>
      </c>
      <c r="GM78">
        <f t="shared" si="97"/>
        <v>4609.5200000000004</v>
      </c>
      <c r="GN78">
        <f t="shared" si="98"/>
        <v>0</v>
      </c>
      <c r="GO78">
        <f t="shared" si="99"/>
        <v>0</v>
      </c>
      <c r="GP78">
        <f t="shared" si="100"/>
        <v>4609.5200000000004</v>
      </c>
      <c r="GR78">
        <v>0</v>
      </c>
      <c r="GS78">
        <v>0</v>
      </c>
      <c r="GT78">
        <v>0</v>
      </c>
      <c r="GU78" t="s">
        <v>3</v>
      </c>
      <c r="GV78">
        <f t="shared" si="101"/>
        <v>0</v>
      </c>
      <c r="GW78">
        <v>1</v>
      </c>
      <c r="GX78">
        <f t="shared" si="102"/>
        <v>0</v>
      </c>
      <c r="HA78">
        <v>0</v>
      </c>
      <c r="HB78">
        <v>0</v>
      </c>
      <c r="HC78">
        <f t="shared" si="103"/>
        <v>0</v>
      </c>
      <c r="HE78" t="s">
        <v>3</v>
      </c>
      <c r="HF78" t="s">
        <v>3</v>
      </c>
      <c r="IK78">
        <v>0</v>
      </c>
    </row>
    <row r="79" spans="1:245" x14ac:dyDescent="0.2">
      <c r="A79">
        <v>17</v>
      </c>
      <c r="B79">
        <v>1</v>
      </c>
      <c r="E79" t="s">
        <v>168</v>
      </c>
      <c r="F79" t="s">
        <v>169</v>
      </c>
      <c r="G79" t="s">
        <v>170</v>
      </c>
      <c r="H79" t="s">
        <v>171</v>
      </c>
      <c r="I79">
        <v>42</v>
      </c>
      <c r="J79">
        <v>0</v>
      </c>
      <c r="O79">
        <f t="shared" si="64"/>
        <v>6179.68</v>
      </c>
      <c r="P79">
        <f t="shared" si="65"/>
        <v>0</v>
      </c>
      <c r="Q79">
        <f t="shared" si="66"/>
        <v>0</v>
      </c>
      <c r="R79">
        <f t="shared" si="67"/>
        <v>0</v>
      </c>
      <c r="S79">
        <f t="shared" si="68"/>
        <v>6179.68</v>
      </c>
      <c r="T79">
        <f t="shared" si="69"/>
        <v>0</v>
      </c>
      <c r="U79">
        <f t="shared" si="70"/>
        <v>15.7248</v>
      </c>
      <c r="V79">
        <f t="shared" si="71"/>
        <v>0</v>
      </c>
      <c r="W79">
        <f t="shared" si="72"/>
        <v>0</v>
      </c>
      <c r="X79">
        <f t="shared" si="73"/>
        <v>4202.18</v>
      </c>
      <c r="Y79">
        <f t="shared" si="74"/>
        <v>2533.67</v>
      </c>
      <c r="AA79">
        <v>23645517</v>
      </c>
      <c r="AB79">
        <f t="shared" si="75"/>
        <v>5.9279999999999999</v>
      </c>
      <c r="AC79">
        <f t="shared" si="76"/>
        <v>0</v>
      </c>
      <c r="AD79">
        <f t="shared" si="77"/>
        <v>0</v>
      </c>
      <c r="AE79">
        <f t="shared" si="78"/>
        <v>0</v>
      </c>
      <c r="AF79">
        <f t="shared" si="79"/>
        <v>5.9279999999999999</v>
      </c>
      <c r="AG79">
        <f t="shared" si="80"/>
        <v>0</v>
      </c>
      <c r="AH79">
        <f t="shared" si="81"/>
        <v>0.37440000000000001</v>
      </c>
      <c r="AI79">
        <f t="shared" si="82"/>
        <v>0</v>
      </c>
      <c r="AJ79">
        <f t="shared" si="83"/>
        <v>0</v>
      </c>
      <c r="AK79">
        <v>5.7</v>
      </c>
      <c r="AL79">
        <v>0</v>
      </c>
      <c r="AM79">
        <v>0</v>
      </c>
      <c r="AN79">
        <v>0</v>
      </c>
      <c r="AO79">
        <v>5.7</v>
      </c>
      <c r="AP79">
        <v>0</v>
      </c>
      <c r="AQ79">
        <v>0.36</v>
      </c>
      <c r="AR79">
        <v>0</v>
      </c>
      <c r="AS79">
        <v>0</v>
      </c>
      <c r="AT79">
        <v>68</v>
      </c>
      <c r="AU79">
        <v>41</v>
      </c>
      <c r="AV79">
        <v>1</v>
      </c>
      <c r="AW79">
        <v>1</v>
      </c>
      <c r="AZ79">
        <v>1</v>
      </c>
      <c r="BA79">
        <v>24.82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4</v>
      </c>
      <c r="BJ79" t="s">
        <v>172</v>
      </c>
      <c r="BM79">
        <v>381</v>
      </c>
      <c r="BN79">
        <v>0</v>
      </c>
      <c r="BO79" t="s">
        <v>3</v>
      </c>
      <c r="BP79">
        <v>0</v>
      </c>
      <c r="BQ79">
        <v>50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68</v>
      </c>
      <c r="CA79">
        <v>41</v>
      </c>
      <c r="CE79">
        <v>30</v>
      </c>
      <c r="CF79">
        <v>0</v>
      </c>
      <c r="CG79">
        <v>0</v>
      </c>
      <c r="CM79">
        <v>0</v>
      </c>
      <c r="CN79" t="s">
        <v>224</v>
      </c>
      <c r="CO79">
        <v>0</v>
      </c>
      <c r="CP79">
        <f t="shared" si="84"/>
        <v>6179.68</v>
      </c>
      <c r="CQ79">
        <f t="shared" si="85"/>
        <v>0</v>
      </c>
      <c r="CR79">
        <f t="shared" si="86"/>
        <v>0</v>
      </c>
      <c r="CS79">
        <f t="shared" si="87"/>
        <v>0</v>
      </c>
      <c r="CT79">
        <f t="shared" si="88"/>
        <v>147.18</v>
      </c>
      <c r="CU79">
        <f t="shared" si="89"/>
        <v>0</v>
      </c>
      <c r="CV79">
        <f t="shared" si="90"/>
        <v>0.37440000000000001</v>
      </c>
      <c r="CW79">
        <f t="shared" si="91"/>
        <v>0</v>
      </c>
      <c r="CX79">
        <f t="shared" si="92"/>
        <v>0</v>
      </c>
      <c r="CY79">
        <f t="shared" si="93"/>
        <v>4202.1824000000006</v>
      </c>
      <c r="CZ79">
        <f t="shared" si="94"/>
        <v>2533.6687999999999</v>
      </c>
      <c r="DC79" t="s">
        <v>3</v>
      </c>
      <c r="DD79" t="s">
        <v>3</v>
      </c>
      <c r="DE79" t="s">
        <v>3</v>
      </c>
      <c r="DF79" t="s">
        <v>3</v>
      </c>
      <c r="DG79" t="s">
        <v>139</v>
      </c>
      <c r="DH79" t="s">
        <v>3</v>
      </c>
      <c r="DI79" t="s">
        <v>139</v>
      </c>
      <c r="DJ79" t="s">
        <v>3</v>
      </c>
      <c r="DK79" t="s">
        <v>3</v>
      </c>
      <c r="DL79" t="s">
        <v>3</v>
      </c>
      <c r="DM79" t="s">
        <v>3</v>
      </c>
      <c r="DN79">
        <v>75</v>
      </c>
      <c r="DO79">
        <v>70</v>
      </c>
      <c r="DP79">
        <v>1</v>
      </c>
      <c r="DQ79">
        <v>1</v>
      </c>
      <c r="DU79">
        <v>1013</v>
      </c>
      <c r="DV79" t="s">
        <v>171</v>
      </c>
      <c r="DW79" t="s">
        <v>171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22827222</v>
      </c>
      <c r="EF79">
        <v>50</v>
      </c>
      <c r="EG79" t="s">
        <v>140</v>
      </c>
      <c r="EH79">
        <v>0</v>
      </c>
      <c r="EI79" t="s">
        <v>3</v>
      </c>
      <c r="EJ79">
        <v>4</v>
      </c>
      <c r="EK79">
        <v>381</v>
      </c>
      <c r="EL79" t="s">
        <v>141</v>
      </c>
      <c r="EM79" t="s">
        <v>142</v>
      </c>
      <c r="EO79" t="s">
        <v>143</v>
      </c>
      <c r="EQ79">
        <v>0</v>
      </c>
      <c r="ER79">
        <v>5.7</v>
      </c>
      <c r="ES79">
        <v>0</v>
      </c>
      <c r="ET79">
        <v>0</v>
      </c>
      <c r="EU79">
        <v>0</v>
      </c>
      <c r="EV79">
        <v>5.7</v>
      </c>
      <c r="EW79">
        <v>0.36</v>
      </c>
      <c r="EX79">
        <v>0</v>
      </c>
      <c r="EY79">
        <v>0</v>
      </c>
      <c r="FQ79">
        <v>0</v>
      </c>
      <c r="FR79">
        <f t="shared" si="95"/>
        <v>0</v>
      </c>
      <c r="FS79">
        <v>0</v>
      </c>
      <c r="FX79">
        <v>75</v>
      </c>
      <c r="FY79">
        <v>70</v>
      </c>
      <c r="GA79" t="s">
        <v>3</v>
      </c>
      <c r="GD79">
        <v>0</v>
      </c>
      <c r="GF79">
        <v>-2003263557</v>
      </c>
      <c r="GG79">
        <v>2</v>
      </c>
      <c r="GH79">
        <v>1</v>
      </c>
      <c r="GI79">
        <v>2</v>
      </c>
      <c r="GJ79">
        <v>0</v>
      </c>
      <c r="GK79">
        <f>ROUND(R79*(R12)/100,2)</f>
        <v>0</v>
      </c>
      <c r="GL79">
        <f t="shared" si="96"/>
        <v>0</v>
      </c>
      <c r="GM79">
        <f t="shared" si="97"/>
        <v>12915.53</v>
      </c>
      <c r="GN79">
        <f t="shared" si="98"/>
        <v>0</v>
      </c>
      <c r="GO79">
        <f t="shared" si="99"/>
        <v>0</v>
      </c>
      <c r="GP79">
        <f t="shared" si="100"/>
        <v>12915.53</v>
      </c>
      <c r="GR79">
        <v>0</v>
      </c>
      <c r="GS79">
        <v>0</v>
      </c>
      <c r="GT79">
        <v>0</v>
      </c>
      <c r="GU79" t="s">
        <v>3</v>
      </c>
      <c r="GV79">
        <f t="shared" si="101"/>
        <v>0</v>
      </c>
      <c r="GW79">
        <v>1</v>
      </c>
      <c r="GX79">
        <f t="shared" si="102"/>
        <v>0</v>
      </c>
      <c r="HA79">
        <v>0</v>
      </c>
      <c r="HB79">
        <v>0</v>
      </c>
      <c r="HC79">
        <f t="shared" si="103"/>
        <v>0</v>
      </c>
      <c r="HE79" t="s">
        <v>3</v>
      </c>
      <c r="HF79" t="s">
        <v>3</v>
      </c>
      <c r="IK79">
        <v>0</v>
      </c>
    </row>
    <row r="80" spans="1:245" x14ac:dyDescent="0.2">
      <c r="A80">
        <v>17</v>
      </c>
      <c r="B80">
        <v>1</v>
      </c>
      <c r="E80" t="s">
        <v>173</v>
      </c>
      <c r="F80" t="s">
        <v>174</v>
      </c>
      <c r="G80" t="s">
        <v>175</v>
      </c>
      <c r="H80" t="s">
        <v>171</v>
      </c>
      <c r="I80">
        <f>ROUND(12,9)</f>
        <v>12</v>
      </c>
      <c r="J80">
        <v>0</v>
      </c>
      <c r="O80">
        <f t="shared" si="64"/>
        <v>489.45</v>
      </c>
      <c r="P80">
        <f t="shared" si="65"/>
        <v>0</v>
      </c>
      <c r="Q80">
        <f t="shared" si="66"/>
        <v>0</v>
      </c>
      <c r="R80">
        <f t="shared" si="67"/>
        <v>0</v>
      </c>
      <c r="S80">
        <f t="shared" si="68"/>
        <v>489.45</v>
      </c>
      <c r="T80">
        <f t="shared" si="69"/>
        <v>0</v>
      </c>
      <c r="U80">
        <f t="shared" si="70"/>
        <v>1.2480000000000002</v>
      </c>
      <c r="V80">
        <f t="shared" si="71"/>
        <v>0</v>
      </c>
      <c r="W80">
        <f t="shared" si="72"/>
        <v>0</v>
      </c>
      <c r="X80">
        <f t="shared" si="73"/>
        <v>332.83</v>
      </c>
      <c r="Y80">
        <f t="shared" si="74"/>
        <v>200.67</v>
      </c>
      <c r="AA80">
        <v>23645517</v>
      </c>
      <c r="AB80">
        <f t="shared" si="75"/>
        <v>1.6432</v>
      </c>
      <c r="AC80">
        <f t="shared" si="76"/>
        <v>0</v>
      </c>
      <c r="AD80">
        <f t="shared" si="77"/>
        <v>0</v>
      </c>
      <c r="AE80">
        <f t="shared" si="78"/>
        <v>0</v>
      </c>
      <c r="AF80">
        <f t="shared" si="79"/>
        <v>1.6432</v>
      </c>
      <c r="AG80">
        <f t="shared" si="80"/>
        <v>0</v>
      </c>
      <c r="AH80">
        <f t="shared" si="81"/>
        <v>0.10400000000000001</v>
      </c>
      <c r="AI80">
        <f t="shared" si="82"/>
        <v>0</v>
      </c>
      <c r="AJ80">
        <f t="shared" si="83"/>
        <v>0</v>
      </c>
      <c r="AK80">
        <v>1.58</v>
      </c>
      <c r="AL80">
        <v>0</v>
      </c>
      <c r="AM80">
        <v>0</v>
      </c>
      <c r="AN80">
        <v>0</v>
      </c>
      <c r="AO80">
        <v>1.58</v>
      </c>
      <c r="AP80">
        <v>0</v>
      </c>
      <c r="AQ80">
        <v>0.1</v>
      </c>
      <c r="AR80">
        <v>0</v>
      </c>
      <c r="AS80">
        <v>0</v>
      </c>
      <c r="AT80">
        <v>68</v>
      </c>
      <c r="AU80">
        <v>41</v>
      </c>
      <c r="AV80">
        <v>1</v>
      </c>
      <c r="AW80">
        <v>1</v>
      </c>
      <c r="AZ80">
        <v>1</v>
      </c>
      <c r="BA80">
        <v>24.82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4</v>
      </c>
      <c r="BJ80" t="s">
        <v>176</v>
      </c>
      <c r="BM80">
        <v>381</v>
      </c>
      <c r="BN80">
        <v>0</v>
      </c>
      <c r="BO80" t="s">
        <v>3</v>
      </c>
      <c r="BP80">
        <v>0</v>
      </c>
      <c r="BQ80">
        <v>50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68</v>
      </c>
      <c r="CA80">
        <v>41</v>
      </c>
      <c r="CE80">
        <v>30</v>
      </c>
      <c r="CF80">
        <v>0</v>
      </c>
      <c r="CG80">
        <v>0</v>
      </c>
      <c r="CM80">
        <v>0</v>
      </c>
      <c r="CN80" t="s">
        <v>224</v>
      </c>
      <c r="CO80">
        <v>0</v>
      </c>
      <c r="CP80">
        <f t="shared" si="84"/>
        <v>489.45</v>
      </c>
      <c r="CQ80">
        <f t="shared" si="85"/>
        <v>0</v>
      </c>
      <c r="CR80">
        <f t="shared" si="86"/>
        <v>0</v>
      </c>
      <c r="CS80">
        <f t="shared" si="87"/>
        <v>0</v>
      </c>
      <c r="CT80">
        <f t="shared" si="88"/>
        <v>40.700000000000003</v>
      </c>
      <c r="CU80">
        <f t="shared" si="89"/>
        <v>0</v>
      </c>
      <c r="CV80">
        <f t="shared" si="90"/>
        <v>0.10400000000000001</v>
      </c>
      <c r="CW80">
        <f t="shared" si="91"/>
        <v>0</v>
      </c>
      <c r="CX80">
        <f t="shared" si="92"/>
        <v>0</v>
      </c>
      <c r="CY80">
        <f t="shared" si="93"/>
        <v>332.82600000000002</v>
      </c>
      <c r="CZ80">
        <f t="shared" si="94"/>
        <v>200.67449999999999</v>
      </c>
      <c r="DC80" t="s">
        <v>3</v>
      </c>
      <c r="DD80" t="s">
        <v>3</v>
      </c>
      <c r="DE80" t="s">
        <v>3</v>
      </c>
      <c r="DF80" t="s">
        <v>3</v>
      </c>
      <c r="DG80" t="s">
        <v>139</v>
      </c>
      <c r="DH80" t="s">
        <v>3</v>
      </c>
      <c r="DI80" t="s">
        <v>139</v>
      </c>
      <c r="DJ80" t="s">
        <v>3</v>
      </c>
      <c r="DK80" t="s">
        <v>3</v>
      </c>
      <c r="DL80" t="s">
        <v>3</v>
      </c>
      <c r="DM80" t="s">
        <v>3</v>
      </c>
      <c r="DN80">
        <v>75</v>
      </c>
      <c r="DO80">
        <v>70</v>
      </c>
      <c r="DP80">
        <v>1</v>
      </c>
      <c r="DQ80">
        <v>1</v>
      </c>
      <c r="DU80">
        <v>1013</v>
      </c>
      <c r="DV80" t="s">
        <v>171</v>
      </c>
      <c r="DW80" t="s">
        <v>171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22827222</v>
      </c>
      <c r="EF80">
        <v>50</v>
      </c>
      <c r="EG80" t="s">
        <v>140</v>
      </c>
      <c r="EH80">
        <v>0</v>
      </c>
      <c r="EI80" t="s">
        <v>3</v>
      </c>
      <c r="EJ80">
        <v>4</v>
      </c>
      <c r="EK80">
        <v>381</v>
      </c>
      <c r="EL80" t="s">
        <v>141</v>
      </c>
      <c r="EM80" t="s">
        <v>142</v>
      </c>
      <c r="EO80" t="s">
        <v>143</v>
      </c>
      <c r="EQ80">
        <v>0</v>
      </c>
      <c r="ER80">
        <v>1.58</v>
      </c>
      <c r="ES80">
        <v>0</v>
      </c>
      <c r="ET80">
        <v>0</v>
      </c>
      <c r="EU80">
        <v>0</v>
      </c>
      <c r="EV80">
        <v>1.58</v>
      </c>
      <c r="EW80">
        <v>0.1</v>
      </c>
      <c r="EX80">
        <v>0</v>
      </c>
      <c r="EY80">
        <v>0</v>
      </c>
      <c r="FQ80">
        <v>0</v>
      </c>
      <c r="FR80">
        <f t="shared" si="95"/>
        <v>0</v>
      </c>
      <c r="FS80">
        <v>0</v>
      </c>
      <c r="FX80">
        <v>75</v>
      </c>
      <c r="FY80">
        <v>70</v>
      </c>
      <c r="GA80" t="s">
        <v>3</v>
      </c>
      <c r="GD80">
        <v>0</v>
      </c>
      <c r="GF80">
        <v>730104558</v>
      </c>
      <c r="GG80">
        <v>2</v>
      </c>
      <c r="GH80">
        <v>1</v>
      </c>
      <c r="GI80">
        <v>2</v>
      </c>
      <c r="GJ80">
        <v>0</v>
      </c>
      <c r="GK80">
        <f>ROUND(R80*(R12)/100,2)</f>
        <v>0</v>
      </c>
      <c r="GL80">
        <f t="shared" si="96"/>
        <v>0</v>
      </c>
      <c r="GM80">
        <f t="shared" si="97"/>
        <v>1022.95</v>
      </c>
      <c r="GN80">
        <f t="shared" si="98"/>
        <v>0</v>
      </c>
      <c r="GO80">
        <f t="shared" si="99"/>
        <v>0</v>
      </c>
      <c r="GP80">
        <f t="shared" si="100"/>
        <v>1022.95</v>
      </c>
      <c r="GR80">
        <v>0</v>
      </c>
      <c r="GS80">
        <v>0</v>
      </c>
      <c r="GT80">
        <v>0</v>
      </c>
      <c r="GU80" t="s">
        <v>3</v>
      </c>
      <c r="GV80">
        <f t="shared" si="101"/>
        <v>0</v>
      </c>
      <c r="GW80">
        <v>1</v>
      </c>
      <c r="GX80">
        <f t="shared" si="102"/>
        <v>0</v>
      </c>
      <c r="HA80">
        <v>0</v>
      </c>
      <c r="HB80">
        <v>0</v>
      </c>
      <c r="HC80">
        <f t="shared" si="103"/>
        <v>0</v>
      </c>
      <c r="HE80" t="s">
        <v>3</v>
      </c>
      <c r="HF80" t="s">
        <v>3</v>
      </c>
      <c r="IK80">
        <v>0</v>
      </c>
    </row>
    <row r="81" spans="1:245" x14ac:dyDescent="0.2">
      <c r="A81">
        <v>17</v>
      </c>
      <c r="B81">
        <v>1</v>
      </c>
      <c r="E81" t="s">
        <v>177</v>
      </c>
      <c r="F81" t="s">
        <v>178</v>
      </c>
      <c r="G81" t="s">
        <v>179</v>
      </c>
      <c r="H81" t="s">
        <v>171</v>
      </c>
      <c r="I81">
        <v>9</v>
      </c>
      <c r="J81">
        <v>0</v>
      </c>
      <c r="O81">
        <f t="shared" si="64"/>
        <v>1654</v>
      </c>
      <c r="P81">
        <f t="shared" si="65"/>
        <v>0</v>
      </c>
      <c r="Q81">
        <f t="shared" si="66"/>
        <v>0</v>
      </c>
      <c r="R81">
        <f t="shared" si="67"/>
        <v>0</v>
      </c>
      <c r="S81">
        <f t="shared" si="68"/>
        <v>1654</v>
      </c>
      <c r="T81">
        <f t="shared" si="69"/>
        <v>0</v>
      </c>
      <c r="U81">
        <f t="shared" si="70"/>
        <v>4.2120000000000006</v>
      </c>
      <c r="V81">
        <f t="shared" si="71"/>
        <v>0</v>
      </c>
      <c r="W81">
        <f t="shared" si="72"/>
        <v>0</v>
      </c>
      <c r="X81">
        <f t="shared" si="73"/>
        <v>1124.72</v>
      </c>
      <c r="Y81">
        <f t="shared" si="74"/>
        <v>678.14</v>
      </c>
      <c r="AA81">
        <v>23645517</v>
      </c>
      <c r="AB81">
        <f t="shared" si="75"/>
        <v>7.4047999999999998</v>
      </c>
      <c r="AC81">
        <f t="shared" si="76"/>
        <v>0</v>
      </c>
      <c r="AD81">
        <f t="shared" si="77"/>
        <v>0</v>
      </c>
      <c r="AE81">
        <f t="shared" si="78"/>
        <v>0</v>
      </c>
      <c r="AF81">
        <f t="shared" si="79"/>
        <v>7.4047999999999998</v>
      </c>
      <c r="AG81">
        <f t="shared" si="80"/>
        <v>0</v>
      </c>
      <c r="AH81">
        <f t="shared" si="81"/>
        <v>0.46800000000000008</v>
      </c>
      <c r="AI81">
        <f t="shared" si="82"/>
        <v>0</v>
      </c>
      <c r="AJ81">
        <f t="shared" si="83"/>
        <v>0</v>
      </c>
      <c r="AK81">
        <v>7.12</v>
      </c>
      <c r="AL81">
        <v>0</v>
      </c>
      <c r="AM81">
        <v>0</v>
      </c>
      <c r="AN81">
        <v>0</v>
      </c>
      <c r="AO81">
        <v>7.12</v>
      </c>
      <c r="AP81">
        <v>0</v>
      </c>
      <c r="AQ81">
        <v>0.45</v>
      </c>
      <c r="AR81">
        <v>0</v>
      </c>
      <c r="AS81">
        <v>0</v>
      </c>
      <c r="AT81">
        <v>68</v>
      </c>
      <c r="AU81">
        <v>41</v>
      </c>
      <c r="AV81">
        <v>1</v>
      </c>
      <c r="AW81">
        <v>1</v>
      </c>
      <c r="AZ81">
        <v>1</v>
      </c>
      <c r="BA81">
        <v>24.82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4</v>
      </c>
      <c r="BJ81" t="s">
        <v>180</v>
      </c>
      <c r="BM81">
        <v>381</v>
      </c>
      <c r="BN81">
        <v>0</v>
      </c>
      <c r="BO81" t="s">
        <v>3</v>
      </c>
      <c r="BP81">
        <v>0</v>
      </c>
      <c r="BQ81">
        <v>50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68</v>
      </c>
      <c r="CA81">
        <v>41</v>
      </c>
      <c r="CE81">
        <v>30</v>
      </c>
      <c r="CF81">
        <v>0</v>
      </c>
      <c r="CG81">
        <v>0</v>
      </c>
      <c r="CM81">
        <v>0</v>
      </c>
      <c r="CN81" t="s">
        <v>224</v>
      </c>
      <c r="CO81">
        <v>0</v>
      </c>
      <c r="CP81">
        <f t="shared" si="84"/>
        <v>1654</v>
      </c>
      <c r="CQ81">
        <f t="shared" si="85"/>
        <v>0</v>
      </c>
      <c r="CR81">
        <f t="shared" si="86"/>
        <v>0</v>
      </c>
      <c r="CS81">
        <f t="shared" si="87"/>
        <v>0</v>
      </c>
      <c r="CT81">
        <f t="shared" si="88"/>
        <v>183.67</v>
      </c>
      <c r="CU81">
        <f t="shared" si="89"/>
        <v>0</v>
      </c>
      <c r="CV81">
        <f t="shared" si="90"/>
        <v>0.46800000000000008</v>
      </c>
      <c r="CW81">
        <f t="shared" si="91"/>
        <v>0</v>
      </c>
      <c r="CX81">
        <f t="shared" si="92"/>
        <v>0</v>
      </c>
      <c r="CY81">
        <f t="shared" si="93"/>
        <v>1124.72</v>
      </c>
      <c r="CZ81">
        <f t="shared" si="94"/>
        <v>678.14</v>
      </c>
      <c r="DC81" t="s">
        <v>3</v>
      </c>
      <c r="DD81" t="s">
        <v>3</v>
      </c>
      <c r="DE81" t="s">
        <v>3</v>
      </c>
      <c r="DF81" t="s">
        <v>3</v>
      </c>
      <c r="DG81" t="s">
        <v>139</v>
      </c>
      <c r="DH81" t="s">
        <v>3</v>
      </c>
      <c r="DI81" t="s">
        <v>139</v>
      </c>
      <c r="DJ81" t="s">
        <v>3</v>
      </c>
      <c r="DK81" t="s">
        <v>3</v>
      </c>
      <c r="DL81" t="s">
        <v>3</v>
      </c>
      <c r="DM81" t="s">
        <v>3</v>
      </c>
      <c r="DN81">
        <v>75</v>
      </c>
      <c r="DO81">
        <v>70</v>
      </c>
      <c r="DP81">
        <v>1</v>
      </c>
      <c r="DQ81">
        <v>1</v>
      </c>
      <c r="DU81">
        <v>1013</v>
      </c>
      <c r="DV81" t="s">
        <v>171</v>
      </c>
      <c r="DW81" t="s">
        <v>171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22827222</v>
      </c>
      <c r="EF81">
        <v>50</v>
      </c>
      <c r="EG81" t="s">
        <v>140</v>
      </c>
      <c r="EH81">
        <v>0</v>
      </c>
      <c r="EI81" t="s">
        <v>3</v>
      </c>
      <c r="EJ81">
        <v>4</v>
      </c>
      <c r="EK81">
        <v>381</v>
      </c>
      <c r="EL81" t="s">
        <v>141</v>
      </c>
      <c r="EM81" t="s">
        <v>142</v>
      </c>
      <c r="EO81" t="s">
        <v>143</v>
      </c>
      <c r="EQ81">
        <v>0</v>
      </c>
      <c r="ER81">
        <v>7.12</v>
      </c>
      <c r="ES81">
        <v>0</v>
      </c>
      <c r="ET81">
        <v>0</v>
      </c>
      <c r="EU81">
        <v>0</v>
      </c>
      <c r="EV81">
        <v>7.12</v>
      </c>
      <c r="EW81">
        <v>0.45</v>
      </c>
      <c r="EX81">
        <v>0</v>
      </c>
      <c r="EY81">
        <v>0</v>
      </c>
      <c r="FQ81">
        <v>0</v>
      </c>
      <c r="FR81">
        <f t="shared" si="95"/>
        <v>0</v>
      </c>
      <c r="FS81">
        <v>0</v>
      </c>
      <c r="FX81">
        <v>75</v>
      </c>
      <c r="FY81">
        <v>70</v>
      </c>
      <c r="GA81" t="s">
        <v>3</v>
      </c>
      <c r="GD81">
        <v>0</v>
      </c>
      <c r="GF81">
        <v>-1143142764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96"/>
        <v>0</v>
      </c>
      <c r="GM81">
        <f t="shared" si="97"/>
        <v>3456.86</v>
      </c>
      <c r="GN81">
        <f t="shared" si="98"/>
        <v>0</v>
      </c>
      <c r="GO81">
        <f t="shared" si="99"/>
        <v>0</v>
      </c>
      <c r="GP81">
        <f t="shared" si="100"/>
        <v>3456.86</v>
      </c>
      <c r="GR81">
        <v>0</v>
      </c>
      <c r="GS81">
        <v>0</v>
      </c>
      <c r="GT81">
        <v>0</v>
      </c>
      <c r="GU81" t="s">
        <v>3</v>
      </c>
      <c r="GV81">
        <f t="shared" si="101"/>
        <v>0</v>
      </c>
      <c r="GW81">
        <v>1</v>
      </c>
      <c r="GX81">
        <f t="shared" si="102"/>
        <v>0</v>
      </c>
      <c r="HA81">
        <v>0</v>
      </c>
      <c r="HB81">
        <v>0</v>
      </c>
      <c r="HC81">
        <f t="shared" si="103"/>
        <v>0</v>
      </c>
      <c r="HE81" t="s">
        <v>3</v>
      </c>
      <c r="HF81" t="s">
        <v>3</v>
      </c>
      <c r="IK81">
        <v>0</v>
      </c>
    </row>
    <row r="83" spans="1:245" x14ac:dyDescent="0.2">
      <c r="A83" s="2">
        <v>51</v>
      </c>
      <c r="B83" s="2">
        <f>B69</f>
        <v>1</v>
      </c>
      <c r="C83" s="2">
        <f>A69</f>
        <v>4</v>
      </c>
      <c r="D83" s="2">
        <f>ROW(A69)</f>
        <v>69</v>
      </c>
      <c r="E83" s="2"/>
      <c r="F83" s="2" t="str">
        <f>IF(F69&lt;&gt;"",F69,"")</f>
        <v>Новый раздел</v>
      </c>
      <c r="G83" s="2" t="str">
        <f>IF(G69&lt;&gt;"",G69,"")</f>
        <v>Пусконаладочные работы.</v>
      </c>
      <c r="H83" s="2">
        <v>0</v>
      </c>
      <c r="I83" s="2"/>
      <c r="J83" s="2"/>
      <c r="K83" s="2"/>
      <c r="L83" s="2"/>
      <c r="M83" s="2"/>
      <c r="N83" s="2"/>
      <c r="O83" s="2">
        <f t="shared" ref="O83:T83" si="104">ROUND(AB83,2)</f>
        <v>40234.75</v>
      </c>
      <c r="P83" s="2">
        <f t="shared" si="104"/>
        <v>0</v>
      </c>
      <c r="Q83" s="2">
        <f t="shared" si="104"/>
        <v>0</v>
      </c>
      <c r="R83" s="2">
        <f t="shared" si="104"/>
        <v>0</v>
      </c>
      <c r="S83" s="2">
        <f t="shared" si="104"/>
        <v>40234.75</v>
      </c>
      <c r="T83" s="2">
        <f t="shared" si="104"/>
        <v>0</v>
      </c>
      <c r="U83" s="2">
        <f>AH83</f>
        <v>107.50480000000002</v>
      </c>
      <c r="V83" s="2">
        <f>AI83</f>
        <v>0</v>
      </c>
      <c r="W83" s="2">
        <f>ROUND(AJ83,2)</f>
        <v>0</v>
      </c>
      <c r="X83" s="2">
        <f>ROUND(AK83,2)</f>
        <v>27359.65</v>
      </c>
      <c r="Y83" s="2">
        <f>ROUND(AL83,2)</f>
        <v>16496.25</v>
      </c>
      <c r="Z83" s="2"/>
      <c r="AA83" s="2"/>
      <c r="AB83" s="2">
        <f>ROUND(SUMIF(AA73:AA81,"=23645517",O73:O81),2)</f>
        <v>40234.75</v>
      </c>
      <c r="AC83" s="2">
        <f>ROUND(SUMIF(AA73:AA81,"=23645517",P73:P81),2)</f>
        <v>0</v>
      </c>
      <c r="AD83" s="2">
        <f>ROUND(SUMIF(AA73:AA81,"=23645517",Q73:Q81),2)</f>
        <v>0</v>
      </c>
      <c r="AE83" s="2">
        <f>ROUND(SUMIF(AA73:AA81,"=23645517",R73:R81),2)</f>
        <v>0</v>
      </c>
      <c r="AF83" s="2">
        <f>ROUND(SUMIF(AA73:AA81,"=23645517",S73:S81),2)</f>
        <v>40234.75</v>
      </c>
      <c r="AG83" s="2">
        <f>ROUND(SUMIF(AA73:AA81,"=23645517",T73:T81),2)</f>
        <v>0</v>
      </c>
      <c r="AH83" s="2">
        <f>SUMIF(AA73:AA81,"=23645517",U73:U81)</f>
        <v>107.50480000000002</v>
      </c>
      <c r="AI83" s="2">
        <f>SUMIF(AA73:AA81,"=23645517",V73:V81)</f>
        <v>0</v>
      </c>
      <c r="AJ83" s="2">
        <f>ROUND(SUMIF(AA73:AA81,"=23645517",W73:W81),2)</f>
        <v>0</v>
      </c>
      <c r="AK83" s="2">
        <f>ROUND(SUMIF(AA73:AA81,"=23645517",X73:X81),2)</f>
        <v>27359.65</v>
      </c>
      <c r="AL83" s="2">
        <f>ROUND(SUMIF(AA73:AA81,"=23645517",Y73:Y81),2)</f>
        <v>16496.25</v>
      </c>
      <c r="AM83" s="2"/>
      <c r="AN83" s="2"/>
      <c r="AO83" s="2">
        <f t="shared" ref="AO83:BD83" si="105">ROUND(BX83,2)</f>
        <v>0</v>
      </c>
      <c r="AP83" s="2">
        <f t="shared" si="105"/>
        <v>0</v>
      </c>
      <c r="AQ83" s="2">
        <f t="shared" si="105"/>
        <v>0</v>
      </c>
      <c r="AR83" s="2">
        <f t="shared" si="105"/>
        <v>84090.65</v>
      </c>
      <c r="AS83" s="2">
        <f t="shared" si="105"/>
        <v>0</v>
      </c>
      <c r="AT83" s="2">
        <f t="shared" si="105"/>
        <v>0</v>
      </c>
      <c r="AU83" s="2">
        <f t="shared" si="105"/>
        <v>84090.65</v>
      </c>
      <c r="AV83" s="2">
        <f t="shared" si="105"/>
        <v>0</v>
      </c>
      <c r="AW83" s="2">
        <f t="shared" si="105"/>
        <v>0</v>
      </c>
      <c r="AX83" s="2">
        <f t="shared" si="105"/>
        <v>0</v>
      </c>
      <c r="AY83" s="2">
        <f t="shared" si="105"/>
        <v>0</v>
      </c>
      <c r="AZ83" s="2">
        <f t="shared" si="105"/>
        <v>0</v>
      </c>
      <c r="BA83" s="2">
        <f t="shared" si="105"/>
        <v>0</v>
      </c>
      <c r="BB83" s="2">
        <f t="shared" si="105"/>
        <v>0</v>
      </c>
      <c r="BC83" s="2">
        <f t="shared" si="105"/>
        <v>0</v>
      </c>
      <c r="BD83" s="2">
        <f t="shared" si="105"/>
        <v>0</v>
      </c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>
        <f>ROUND(SUMIF(AA73:AA81,"=23645517",FQ73:FQ81),2)</f>
        <v>0</v>
      </c>
      <c r="BY83" s="2">
        <f>ROUND(SUMIF(AA73:AA81,"=23645517",FR73:FR81),2)</f>
        <v>0</v>
      </c>
      <c r="BZ83" s="2">
        <f>ROUND(SUMIF(AA73:AA81,"=23645517",GL73:GL81),2)</f>
        <v>0</v>
      </c>
      <c r="CA83" s="2">
        <f>ROUND(SUMIF(AA73:AA81,"=23645517",GM73:GM81),2)</f>
        <v>84090.65</v>
      </c>
      <c r="CB83" s="2">
        <f>ROUND(SUMIF(AA73:AA81,"=23645517",GN73:GN81),2)</f>
        <v>0</v>
      </c>
      <c r="CC83" s="2">
        <f>ROUND(SUMIF(AA73:AA81,"=23645517",GO73:GO81),2)</f>
        <v>0</v>
      </c>
      <c r="CD83" s="2">
        <f>ROUND(SUMIF(AA73:AA81,"=23645517",GP73:GP81),2)</f>
        <v>84090.65</v>
      </c>
      <c r="CE83" s="2">
        <f>AC83-BX83</f>
        <v>0</v>
      </c>
      <c r="CF83" s="2">
        <f>AC83-BY83</f>
        <v>0</v>
      </c>
      <c r="CG83" s="2">
        <f>BX83-BZ83</f>
        <v>0</v>
      </c>
      <c r="CH83" s="2">
        <f>AC83-BX83-BY83+BZ83</f>
        <v>0</v>
      </c>
      <c r="CI83" s="2">
        <f>BY83-BZ83</f>
        <v>0</v>
      </c>
      <c r="CJ83" s="2">
        <f>ROUND(SUMIF(AA73:AA81,"=23645517",GX73:GX81),2)</f>
        <v>0</v>
      </c>
      <c r="CK83" s="2">
        <f>ROUND(SUMIF(AA73:AA81,"=23645517",GY73:GY81),2)</f>
        <v>0</v>
      </c>
      <c r="CL83" s="2">
        <f>ROUND(SUMIF(AA73:AA81,"=23645517",GZ73:GZ81),2)</f>
        <v>0</v>
      </c>
      <c r="CM83" s="2">
        <f>ROUND(SUMIF(AA73:AA81,"=23645517",HD73:HD81),2)</f>
        <v>0</v>
      </c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>
        <v>0</v>
      </c>
    </row>
    <row r="85" spans="1:245" x14ac:dyDescent="0.2">
      <c r="A85" s="4">
        <v>50</v>
      </c>
      <c r="B85" s="4">
        <v>0</v>
      </c>
      <c r="C85" s="4">
        <v>0</v>
      </c>
      <c r="D85" s="4">
        <v>1</v>
      </c>
      <c r="E85" s="4">
        <v>201</v>
      </c>
      <c r="F85" s="4">
        <f>ROUND(Source!O83,O85)</f>
        <v>40234.75</v>
      </c>
      <c r="G85" s="4" t="s">
        <v>80</v>
      </c>
      <c r="H85" s="4" t="s">
        <v>81</v>
      </c>
      <c r="I85" s="4"/>
      <c r="J85" s="4"/>
      <c r="K85" s="4">
        <v>201</v>
      </c>
      <c r="L85" s="4">
        <v>1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45" x14ac:dyDescent="0.2">
      <c r="A86" s="4">
        <v>50</v>
      </c>
      <c r="B86" s="4">
        <v>0</v>
      </c>
      <c r="C86" s="4">
        <v>0</v>
      </c>
      <c r="D86" s="4">
        <v>1</v>
      </c>
      <c r="E86" s="4">
        <v>202</v>
      </c>
      <c r="F86" s="4">
        <f>ROUND(Source!P83,O86)</f>
        <v>0</v>
      </c>
      <c r="G86" s="4" t="s">
        <v>82</v>
      </c>
      <c r="H86" s="4" t="s">
        <v>83</v>
      </c>
      <c r="I86" s="4"/>
      <c r="J86" s="4"/>
      <c r="K86" s="4">
        <v>202</v>
      </c>
      <c r="L86" s="4">
        <v>2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45" x14ac:dyDescent="0.2">
      <c r="A87" s="4">
        <v>50</v>
      </c>
      <c r="B87" s="4">
        <v>0</v>
      </c>
      <c r="C87" s="4">
        <v>0</v>
      </c>
      <c r="D87" s="4">
        <v>1</v>
      </c>
      <c r="E87" s="4">
        <v>222</v>
      </c>
      <c r="F87" s="4">
        <f>ROUND(Source!AO83,O87)</f>
        <v>0</v>
      </c>
      <c r="G87" s="4" t="s">
        <v>84</v>
      </c>
      <c r="H87" s="4" t="s">
        <v>85</v>
      </c>
      <c r="I87" s="4"/>
      <c r="J87" s="4"/>
      <c r="K87" s="4">
        <v>222</v>
      </c>
      <c r="L87" s="4">
        <v>3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45" x14ac:dyDescent="0.2">
      <c r="A88" s="4">
        <v>50</v>
      </c>
      <c r="B88" s="4">
        <v>0</v>
      </c>
      <c r="C88" s="4">
        <v>0</v>
      </c>
      <c r="D88" s="4">
        <v>1</v>
      </c>
      <c r="E88" s="4">
        <v>225</v>
      </c>
      <c r="F88" s="4">
        <f>ROUND(Source!AV83,O88)</f>
        <v>0</v>
      </c>
      <c r="G88" s="4" t="s">
        <v>86</v>
      </c>
      <c r="H88" s="4" t="s">
        <v>87</v>
      </c>
      <c r="I88" s="4"/>
      <c r="J88" s="4"/>
      <c r="K88" s="4">
        <v>225</v>
      </c>
      <c r="L88" s="4">
        <v>4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45" x14ac:dyDescent="0.2">
      <c r="A89" s="4">
        <v>50</v>
      </c>
      <c r="B89" s="4">
        <v>0</v>
      </c>
      <c r="C89" s="4">
        <v>0</v>
      </c>
      <c r="D89" s="4">
        <v>1</v>
      </c>
      <c r="E89" s="4">
        <v>226</v>
      </c>
      <c r="F89" s="4">
        <f>ROUND(Source!AW83,O89)</f>
        <v>0</v>
      </c>
      <c r="G89" s="4" t="s">
        <v>88</v>
      </c>
      <c r="H89" s="4" t="s">
        <v>89</v>
      </c>
      <c r="I89" s="4"/>
      <c r="J89" s="4"/>
      <c r="K89" s="4">
        <v>226</v>
      </c>
      <c r="L89" s="4">
        <v>5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45" x14ac:dyDescent="0.2">
      <c r="A90" s="4">
        <v>50</v>
      </c>
      <c r="B90" s="4">
        <v>0</v>
      </c>
      <c r="C90" s="4">
        <v>0</v>
      </c>
      <c r="D90" s="4">
        <v>1</v>
      </c>
      <c r="E90" s="4">
        <v>227</v>
      </c>
      <c r="F90" s="4">
        <f>ROUND(Source!AX83,O90)</f>
        <v>0</v>
      </c>
      <c r="G90" s="4" t="s">
        <v>90</v>
      </c>
      <c r="H90" s="4" t="s">
        <v>91</v>
      </c>
      <c r="I90" s="4"/>
      <c r="J90" s="4"/>
      <c r="K90" s="4">
        <v>227</v>
      </c>
      <c r="L90" s="4">
        <v>6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 x14ac:dyDescent="0.2">
      <c r="A91" s="4">
        <v>50</v>
      </c>
      <c r="B91" s="4">
        <v>0</v>
      </c>
      <c r="C91" s="4">
        <v>0</v>
      </c>
      <c r="D91" s="4">
        <v>1</v>
      </c>
      <c r="E91" s="4">
        <v>228</v>
      </c>
      <c r="F91" s="4">
        <f>ROUND(Source!AY83,O91)</f>
        <v>0</v>
      </c>
      <c r="G91" s="4" t="s">
        <v>92</v>
      </c>
      <c r="H91" s="4" t="s">
        <v>93</v>
      </c>
      <c r="I91" s="4"/>
      <c r="J91" s="4"/>
      <c r="K91" s="4">
        <v>228</v>
      </c>
      <c r="L91" s="4">
        <v>7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 x14ac:dyDescent="0.2">
      <c r="A92" s="4">
        <v>50</v>
      </c>
      <c r="B92" s="4">
        <v>0</v>
      </c>
      <c r="C92" s="4">
        <v>0</v>
      </c>
      <c r="D92" s="4">
        <v>1</v>
      </c>
      <c r="E92" s="4">
        <v>216</v>
      </c>
      <c r="F92" s="4">
        <f>ROUND(Source!AP83,O92)</f>
        <v>0</v>
      </c>
      <c r="G92" s="4" t="s">
        <v>94</v>
      </c>
      <c r="H92" s="4" t="s">
        <v>95</v>
      </c>
      <c r="I92" s="4"/>
      <c r="J92" s="4"/>
      <c r="K92" s="4">
        <v>216</v>
      </c>
      <c r="L92" s="4">
        <v>8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 x14ac:dyDescent="0.2">
      <c r="A93" s="4">
        <v>50</v>
      </c>
      <c r="B93" s="4">
        <v>0</v>
      </c>
      <c r="C93" s="4">
        <v>0</v>
      </c>
      <c r="D93" s="4">
        <v>1</v>
      </c>
      <c r="E93" s="4">
        <v>223</v>
      </c>
      <c r="F93" s="4">
        <f>ROUND(Source!AQ83,O93)</f>
        <v>0</v>
      </c>
      <c r="G93" s="4" t="s">
        <v>96</v>
      </c>
      <c r="H93" s="4" t="s">
        <v>97</v>
      </c>
      <c r="I93" s="4"/>
      <c r="J93" s="4"/>
      <c r="K93" s="4">
        <v>223</v>
      </c>
      <c r="L93" s="4">
        <v>9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 x14ac:dyDescent="0.2">
      <c r="A94" s="4">
        <v>50</v>
      </c>
      <c r="B94" s="4">
        <v>0</v>
      </c>
      <c r="C94" s="4">
        <v>0</v>
      </c>
      <c r="D94" s="4">
        <v>1</v>
      </c>
      <c r="E94" s="4">
        <v>229</v>
      </c>
      <c r="F94" s="4">
        <f>ROUND(Source!AZ83,O94)</f>
        <v>0</v>
      </c>
      <c r="G94" s="4" t="s">
        <v>98</v>
      </c>
      <c r="H94" s="4" t="s">
        <v>99</v>
      </c>
      <c r="I94" s="4"/>
      <c r="J94" s="4"/>
      <c r="K94" s="4">
        <v>229</v>
      </c>
      <c r="L94" s="4">
        <v>10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">
      <c r="A95" s="4">
        <v>50</v>
      </c>
      <c r="B95" s="4">
        <v>0</v>
      </c>
      <c r="C95" s="4">
        <v>0</v>
      </c>
      <c r="D95" s="4">
        <v>1</v>
      </c>
      <c r="E95" s="4">
        <v>203</v>
      </c>
      <c r="F95" s="4">
        <f>ROUND(Source!Q83,O95)</f>
        <v>0</v>
      </c>
      <c r="G95" s="4" t="s">
        <v>100</v>
      </c>
      <c r="H95" s="4" t="s">
        <v>101</v>
      </c>
      <c r="I95" s="4"/>
      <c r="J95" s="4"/>
      <c r="K95" s="4">
        <v>203</v>
      </c>
      <c r="L95" s="4">
        <v>11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">
      <c r="A96" s="4">
        <v>50</v>
      </c>
      <c r="B96" s="4">
        <v>0</v>
      </c>
      <c r="C96" s="4">
        <v>0</v>
      </c>
      <c r="D96" s="4">
        <v>1</v>
      </c>
      <c r="E96" s="4">
        <v>231</v>
      </c>
      <c r="F96" s="4">
        <f>ROUND(Source!BB83,O96)</f>
        <v>0</v>
      </c>
      <c r="G96" s="4" t="s">
        <v>102</v>
      </c>
      <c r="H96" s="4" t="s">
        <v>103</v>
      </c>
      <c r="I96" s="4"/>
      <c r="J96" s="4"/>
      <c r="K96" s="4">
        <v>231</v>
      </c>
      <c r="L96" s="4">
        <v>12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204</v>
      </c>
      <c r="F97" s="4">
        <f>ROUND(Source!R83,O97)</f>
        <v>0</v>
      </c>
      <c r="G97" s="4" t="s">
        <v>104</v>
      </c>
      <c r="H97" s="4" t="s">
        <v>105</v>
      </c>
      <c r="I97" s="4"/>
      <c r="J97" s="4"/>
      <c r="K97" s="4">
        <v>204</v>
      </c>
      <c r="L97" s="4">
        <v>13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205</v>
      </c>
      <c r="F98" s="4">
        <f>ROUND(Source!S83,O98)</f>
        <v>40234.75</v>
      </c>
      <c r="G98" s="4" t="s">
        <v>106</v>
      </c>
      <c r="H98" s="4" t="s">
        <v>107</v>
      </c>
      <c r="I98" s="4"/>
      <c r="J98" s="4"/>
      <c r="K98" s="4">
        <v>205</v>
      </c>
      <c r="L98" s="4">
        <v>14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232</v>
      </c>
      <c r="F99" s="4">
        <f>ROUND(Source!BC83,O99)</f>
        <v>0</v>
      </c>
      <c r="G99" s="4" t="s">
        <v>108</v>
      </c>
      <c r="H99" s="4" t="s">
        <v>109</v>
      </c>
      <c r="I99" s="4"/>
      <c r="J99" s="4"/>
      <c r="K99" s="4">
        <v>232</v>
      </c>
      <c r="L99" s="4">
        <v>15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214</v>
      </c>
      <c r="F100" s="4">
        <f>ROUND(Source!AS83,O100)</f>
        <v>0</v>
      </c>
      <c r="G100" s="4" t="s">
        <v>110</v>
      </c>
      <c r="H100" s="4" t="s">
        <v>111</v>
      </c>
      <c r="I100" s="4"/>
      <c r="J100" s="4"/>
      <c r="K100" s="4">
        <v>214</v>
      </c>
      <c r="L100" s="4">
        <v>16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215</v>
      </c>
      <c r="F101" s="4">
        <f>ROUND(Source!AT83,O101)</f>
        <v>0</v>
      </c>
      <c r="G101" s="4" t="s">
        <v>112</v>
      </c>
      <c r="H101" s="4" t="s">
        <v>113</v>
      </c>
      <c r="I101" s="4"/>
      <c r="J101" s="4"/>
      <c r="K101" s="4">
        <v>215</v>
      </c>
      <c r="L101" s="4">
        <v>17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217</v>
      </c>
      <c r="F102" s="4">
        <f>ROUND(Source!AU83,O102)</f>
        <v>84090.65</v>
      </c>
      <c r="G102" s="4" t="s">
        <v>114</v>
      </c>
      <c r="H102" s="4" t="s">
        <v>115</v>
      </c>
      <c r="I102" s="4"/>
      <c r="J102" s="4"/>
      <c r="K102" s="4">
        <v>217</v>
      </c>
      <c r="L102" s="4">
        <v>18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230</v>
      </c>
      <c r="F103" s="4">
        <f>ROUND(Source!BA83,O103)</f>
        <v>0</v>
      </c>
      <c r="G103" s="4" t="s">
        <v>116</v>
      </c>
      <c r="H103" s="4" t="s">
        <v>117</v>
      </c>
      <c r="I103" s="4"/>
      <c r="J103" s="4"/>
      <c r="K103" s="4">
        <v>230</v>
      </c>
      <c r="L103" s="4">
        <v>19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206</v>
      </c>
      <c r="F104" s="4">
        <f>ROUND(Source!T83,O104)</f>
        <v>0</v>
      </c>
      <c r="G104" s="4" t="s">
        <v>118</v>
      </c>
      <c r="H104" s="4" t="s">
        <v>119</v>
      </c>
      <c r="I104" s="4"/>
      <c r="J104" s="4"/>
      <c r="K104" s="4">
        <v>206</v>
      </c>
      <c r="L104" s="4">
        <v>20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207</v>
      </c>
      <c r="F105" s="4">
        <f>Source!U83</f>
        <v>107.50480000000002</v>
      </c>
      <c r="G105" s="4" t="s">
        <v>120</v>
      </c>
      <c r="H105" s="4" t="s">
        <v>121</v>
      </c>
      <c r="I105" s="4"/>
      <c r="J105" s="4"/>
      <c r="K105" s="4">
        <v>207</v>
      </c>
      <c r="L105" s="4">
        <v>21</v>
      </c>
      <c r="M105" s="4">
        <v>3</v>
      </c>
      <c r="N105" s="4" t="s">
        <v>3</v>
      </c>
      <c r="O105" s="4">
        <v>-1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208</v>
      </c>
      <c r="F106" s="4">
        <f>Source!V83</f>
        <v>0</v>
      </c>
      <c r="G106" s="4" t="s">
        <v>122</v>
      </c>
      <c r="H106" s="4" t="s">
        <v>123</v>
      </c>
      <c r="I106" s="4"/>
      <c r="J106" s="4"/>
      <c r="K106" s="4">
        <v>208</v>
      </c>
      <c r="L106" s="4">
        <v>22</v>
      </c>
      <c r="M106" s="4">
        <v>3</v>
      </c>
      <c r="N106" s="4" t="s">
        <v>3</v>
      </c>
      <c r="O106" s="4">
        <v>-1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209</v>
      </c>
      <c r="F107" s="4">
        <f>ROUND(Source!W83,O107)</f>
        <v>0</v>
      </c>
      <c r="G107" s="4" t="s">
        <v>124</v>
      </c>
      <c r="H107" s="4" t="s">
        <v>125</v>
      </c>
      <c r="I107" s="4"/>
      <c r="J107" s="4"/>
      <c r="K107" s="4">
        <v>209</v>
      </c>
      <c r="L107" s="4">
        <v>23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233</v>
      </c>
      <c r="F108" s="4">
        <f>ROUND(Source!BD83,O108)</f>
        <v>0</v>
      </c>
      <c r="G108" s="4" t="s">
        <v>126</v>
      </c>
      <c r="H108" s="4" t="s">
        <v>127</v>
      </c>
      <c r="I108" s="4"/>
      <c r="J108" s="4"/>
      <c r="K108" s="4">
        <v>233</v>
      </c>
      <c r="L108" s="4">
        <v>24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210</v>
      </c>
      <c r="F109" s="4">
        <f>ROUND(Source!X83,O109)</f>
        <v>27359.65</v>
      </c>
      <c r="G109" s="4" t="s">
        <v>128</v>
      </c>
      <c r="H109" s="4" t="s">
        <v>129</v>
      </c>
      <c r="I109" s="4"/>
      <c r="J109" s="4"/>
      <c r="K109" s="4">
        <v>210</v>
      </c>
      <c r="L109" s="4">
        <v>25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211</v>
      </c>
      <c r="F110" s="4">
        <f>ROUND(Source!Y83,O110)</f>
        <v>16496.25</v>
      </c>
      <c r="G110" s="4" t="s">
        <v>130</v>
      </c>
      <c r="H110" s="4" t="s">
        <v>131</v>
      </c>
      <c r="I110" s="4"/>
      <c r="J110" s="4"/>
      <c r="K110" s="4">
        <v>211</v>
      </c>
      <c r="L110" s="4">
        <v>26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224</v>
      </c>
      <c r="F111" s="4">
        <f>ROUND(Source!AR83,O111)</f>
        <v>84090.65</v>
      </c>
      <c r="G111" s="4" t="s">
        <v>132</v>
      </c>
      <c r="H111" s="4" t="s">
        <v>133</v>
      </c>
      <c r="I111" s="4"/>
      <c r="J111" s="4"/>
      <c r="K111" s="4">
        <v>224</v>
      </c>
      <c r="L111" s="4">
        <v>27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3" spans="1:245" x14ac:dyDescent="0.2">
      <c r="A113" s="1">
        <v>4</v>
      </c>
      <c r="B113" s="1">
        <v>1</v>
      </c>
      <c r="C113" s="1"/>
      <c r="D113" s="1">
        <f>ROW(A123)</f>
        <v>123</v>
      </c>
      <c r="E113" s="1"/>
      <c r="F113" s="1" t="s">
        <v>21</v>
      </c>
      <c r="G113" s="1" t="s">
        <v>181</v>
      </c>
      <c r="H113" s="1" t="s">
        <v>3</v>
      </c>
      <c r="I113" s="1">
        <v>0</v>
      </c>
      <c r="J113" s="1"/>
      <c r="K113" s="1">
        <v>-1</v>
      </c>
      <c r="L113" s="1"/>
      <c r="M113" s="1" t="s">
        <v>3</v>
      </c>
      <c r="N113" s="1"/>
      <c r="O113" s="1"/>
      <c r="P113" s="1"/>
      <c r="Q113" s="1"/>
      <c r="R113" s="1"/>
      <c r="S113" s="1">
        <v>0</v>
      </c>
      <c r="T113" s="1"/>
      <c r="U113" s="1" t="s">
        <v>3</v>
      </c>
      <c r="V113" s="1">
        <v>0</v>
      </c>
      <c r="W113" s="1"/>
      <c r="X113" s="1"/>
      <c r="Y113" s="1"/>
      <c r="Z113" s="1"/>
      <c r="AA113" s="1"/>
      <c r="AB113" s="1" t="s">
        <v>3</v>
      </c>
      <c r="AC113" s="1" t="s">
        <v>3</v>
      </c>
      <c r="AD113" s="1" t="s">
        <v>3</v>
      </c>
      <c r="AE113" s="1" t="s">
        <v>3</v>
      </c>
      <c r="AF113" s="1" t="s">
        <v>3</v>
      </c>
      <c r="AG113" s="1" t="s">
        <v>3</v>
      </c>
      <c r="AH113" s="1"/>
      <c r="AI113" s="1"/>
      <c r="AJ113" s="1"/>
      <c r="AK113" s="1"/>
      <c r="AL113" s="1"/>
      <c r="AM113" s="1"/>
      <c r="AN113" s="1"/>
      <c r="AO113" s="1"/>
      <c r="AP113" s="1" t="s">
        <v>3</v>
      </c>
      <c r="AQ113" s="1" t="s">
        <v>3</v>
      </c>
      <c r="AR113" s="1" t="s">
        <v>3</v>
      </c>
      <c r="AS113" s="1"/>
      <c r="AT113" s="1"/>
      <c r="AU113" s="1"/>
      <c r="AV113" s="1"/>
      <c r="AW113" s="1"/>
      <c r="AX113" s="1"/>
      <c r="AY113" s="1"/>
      <c r="AZ113" s="1" t="s">
        <v>3</v>
      </c>
      <c r="BA113" s="1"/>
      <c r="BB113" s="1" t="s">
        <v>3</v>
      </c>
      <c r="BC113" s="1" t="s">
        <v>3</v>
      </c>
      <c r="BD113" s="1" t="s">
        <v>3</v>
      </c>
      <c r="BE113" s="1" t="s">
        <v>3</v>
      </c>
      <c r="BF113" s="1" t="s">
        <v>3</v>
      </c>
      <c r="BG113" s="1" t="s">
        <v>3</v>
      </c>
      <c r="BH113" s="1" t="s">
        <v>3</v>
      </c>
      <c r="BI113" s="1" t="s">
        <v>3</v>
      </c>
      <c r="BJ113" s="1" t="s">
        <v>3</v>
      </c>
      <c r="BK113" s="1" t="s">
        <v>3</v>
      </c>
      <c r="BL113" s="1" t="s">
        <v>3</v>
      </c>
      <c r="BM113" s="1" t="s">
        <v>3</v>
      </c>
      <c r="BN113" s="1" t="s">
        <v>3</v>
      </c>
      <c r="BO113" s="1" t="s">
        <v>3</v>
      </c>
      <c r="BP113" s="1" t="s">
        <v>3</v>
      </c>
      <c r="BQ113" s="1"/>
      <c r="BR113" s="1"/>
      <c r="BS113" s="1"/>
      <c r="BT113" s="1"/>
      <c r="BU113" s="1"/>
      <c r="BV113" s="1"/>
      <c r="BW113" s="1"/>
      <c r="BX113" s="1"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>
        <v>0</v>
      </c>
    </row>
    <row r="115" spans="1:245" x14ac:dyDescent="0.2">
      <c r="A115" s="2">
        <v>52</v>
      </c>
      <c r="B115" s="2">
        <f t="shared" ref="B115:G115" si="106">B123</f>
        <v>1</v>
      </c>
      <c r="C115" s="2">
        <f t="shared" si="106"/>
        <v>4</v>
      </c>
      <c r="D115" s="2">
        <f t="shared" si="106"/>
        <v>113</v>
      </c>
      <c r="E115" s="2">
        <f t="shared" si="106"/>
        <v>0</v>
      </c>
      <c r="F115" s="2" t="str">
        <f t="shared" si="106"/>
        <v>Новый раздел</v>
      </c>
      <c r="G115" s="2" t="str">
        <f t="shared" si="106"/>
        <v>Материалы, не учтенные ценником и оборудование.</v>
      </c>
      <c r="H115" s="2"/>
      <c r="I115" s="2"/>
      <c r="J115" s="2"/>
      <c r="K115" s="2"/>
      <c r="L115" s="2"/>
      <c r="M115" s="2"/>
      <c r="N115" s="2"/>
      <c r="O115" s="2">
        <f t="shared" ref="O115:AT115" si="107">O123</f>
        <v>546637.73</v>
      </c>
      <c r="P115" s="2">
        <f t="shared" si="107"/>
        <v>546637.73</v>
      </c>
      <c r="Q115" s="2">
        <f t="shared" si="107"/>
        <v>0</v>
      </c>
      <c r="R115" s="2">
        <f t="shared" si="107"/>
        <v>0</v>
      </c>
      <c r="S115" s="2">
        <f t="shared" si="107"/>
        <v>0</v>
      </c>
      <c r="T115" s="2">
        <f t="shared" si="107"/>
        <v>0</v>
      </c>
      <c r="U115" s="2">
        <f t="shared" si="107"/>
        <v>0</v>
      </c>
      <c r="V115" s="2">
        <f t="shared" si="107"/>
        <v>0</v>
      </c>
      <c r="W115" s="2">
        <f t="shared" si="107"/>
        <v>0</v>
      </c>
      <c r="X115" s="2">
        <f t="shared" si="107"/>
        <v>0</v>
      </c>
      <c r="Y115" s="2">
        <f t="shared" si="107"/>
        <v>0</v>
      </c>
      <c r="Z115" s="2">
        <f t="shared" si="107"/>
        <v>0</v>
      </c>
      <c r="AA115" s="2">
        <f t="shared" si="107"/>
        <v>0</v>
      </c>
      <c r="AB115" s="2">
        <f t="shared" si="107"/>
        <v>546637.73</v>
      </c>
      <c r="AC115" s="2">
        <f t="shared" si="107"/>
        <v>546637.73</v>
      </c>
      <c r="AD115" s="2">
        <f t="shared" si="107"/>
        <v>0</v>
      </c>
      <c r="AE115" s="2">
        <f t="shared" si="107"/>
        <v>0</v>
      </c>
      <c r="AF115" s="2">
        <f t="shared" si="107"/>
        <v>0</v>
      </c>
      <c r="AG115" s="2">
        <f t="shared" si="107"/>
        <v>0</v>
      </c>
      <c r="AH115" s="2">
        <f t="shared" si="107"/>
        <v>0</v>
      </c>
      <c r="AI115" s="2">
        <f t="shared" si="107"/>
        <v>0</v>
      </c>
      <c r="AJ115" s="2">
        <f t="shared" si="107"/>
        <v>0</v>
      </c>
      <c r="AK115" s="2">
        <f t="shared" si="107"/>
        <v>0</v>
      </c>
      <c r="AL115" s="2">
        <f t="shared" si="107"/>
        <v>0</v>
      </c>
      <c r="AM115" s="2">
        <f t="shared" si="107"/>
        <v>0</v>
      </c>
      <c r="AN115" s="2">
        <f t="shared" si="107"/>
        <v>0</v>
      </c>
      <c r="AO115" s="2">
        <f t="shared" si="107"/>
        <v>0</v>
      </c>
      <c r="AP115" s="2">
        <f t="shared" si="107"/>
        <v>0</v>
      </c>
      <c r="AQ115" s="2">
        <f t="shared" si="107"/>
        <v>0</v>
      </c>
      <c r="AR115" s="2">
        <f t="shared" si="107"/>
        <v>546637.73</v>
      </c>
      <c r="AS115" s="2">
        <f t="shared" si="107"/>
        <v>0</v>
      </c>
      <c r="AT115" s="2">
        <f t="shared" si="107"/>
        <v>26880.560000000001</v>
      </c>
      <c r="AU115" s="2">
        <f t="shared" ref="AU115:BZ115" si="108">AU123</f>
        <v>519757.17</v>
      </c>
      <c r="AV115" s="2">
        <f t="shared" si="108"/>
        <v>546637.73</v>
      </c>
      <c r="AW115" s="2">
        <f t="shared" si="108"/>
        <v>546637.73</v>
      </c>
      <c r="AX115" s="2">
        <f t="shared" si="108"/>
        <v>0</v>
      </c>
      <c r="AY115" s="2">
        <f t="shared" si="108"/>
        <v>546637.73</v>
      </c>
      <c r="AZ115" s="2">
        <f t="shared" si="108"/>
        <v>0</v>
      </c>
      <c r="BA115" s="2">
        <f t="shared" si="108"/>
        <v>0</v>
      </c>
      <c r="BB115" s="2">
        <f t="shared" si="108"/>
        <v>0</v>
      </c>
      <c r="BC115" s="2">
        <f t="shared" si="108"/>
        <v>0</v>
      </c>
      <c r="BD115" s="2">
        <f t="shared" si="108"/>
        <v>0</v>
      </c>
      <c r="BE115" s="2">
        <f t="shared" si="108"/>
        <v>0</v>
      </c>
      <c r="BF115" s="2">
        <f t="shared" si="108"/>
        <v>0</v>
      </c>
      <c r="BG115" s="2">
        <f t="shared" si="108"/>
        <v>0</v>
      </c>
      <c r="BH115" s="2">
        <f t="shared" si="108"/>
        <v>0</v>
      </c>
      <c r="BI115" s="2">
        <f t="shared" si="108"/>
        <v>0</v>
      </c>
      <c r="BJ115" s="2">
        <f t="shared" si="108"/>
        <v>0</v>
      </c>
      <c r="BK115" s="2">
        <f t="shared" si="108"/>
        <v>0</v>
      </c>
      <c r="BL115" s="2">
        <f t="shared" si="108"/>
        <v>0</v>
      </c>
      <c r="BM115" s="2">
        <f t="shared" si="108"/>
        <v>0</v>
      </c>
      <c r="BN115" s="2">
        <f t="shared" si="108"/>
        <v>0</v>
      </c>
      <c r="BO115" s="2">
        <f t="shared" si="108"/>
        <v>0</v>
      </c>
      <c r="BP115" s="2">
        <f t="shared" si="108"/>
        <v>0</v>
      </c>
      <c r="BQ115" s="2">
        <f t="shared" si="108"/>
        <v>0</v>
      </c>
      <c r="BR115" s="2">
        <f t="shared" si="108"/>
        <v>0</v>
      </c>
      <c r="BS115" s="2">
        <f t="shared" si="108"/>
        <v>0</v>
      </c>
      <c r="BT115" s="2">
        <f t="shared" si="108"/>
        <v>0</v>
      </c>
      <c r="BU115" s="2">
        <f t="shared" si="108"/>
        <v>0</v>
      </c>
      <c r="BV115" s="2">
        <f t="shared" si="108"/>
        <v>0</v>
      </c>
      <c r="BW115" s="2">
        <f t="shared" si="108"/>
        <v>0</v>
      </c>
      <c r="BX115" s="2">
        <f t="shared" si="108"/>
        <v>0</v>
      </c>
      <c r="BY115" s="2">
        <f t="shared" si="108"/>
        <v>0</v>
      </c>
      <c r="BZ115" s="2">
        <f t="shared" si="108"/>
        <v>0</v>
      </c>
      <c r="CA115" s="2">
        <f t="shared" ref="CA115:DF115" si="109">CA123</f>
        <v>546637.73</v>
      </c>
      <c r="CB115" s="2">
        <f t="shared" si="109"/>
        <v>0</v>
      </c>
      <c r="CC115" s="2">
        <f t="shared" si="109"/>
        <v>26880.560000000001</v>
      </c>
      <c r="CD115" s="2">
        <f t="shared" si="109"/>
        <v>519757.17</v>
      </c>
      <c r="CE115" s="2">
        <f t="shared" si="109"/>
        <v>546637.73</v>
      </c>
      <c r="CF115" s="2">
        <f t="shared" si="109"/>
        <v>546637.73</v>
      </c>
      <c r="CG115" s="2">
        <f t="shared" si="109"/>
        <v>0</v>
      </c>
      <c r="CH115" s="2">
        <f t="shared" si="109"/>
        <v>546637.73</v>
      </c>
      <c r="CI115" s="2">
        <f t="shared" si="109"/>
        <v>0</v>
      </c>
      <c r="CJ115" s="2">
        <f t="shared" si="109"/>
        <v>0</v>
      </c>
      <c r="CK115" s="2">
        <f t="shared" si="109"/>
        <v>0</v>
      </c>
      <c r="CL115" s="2">
        <f t="shared" si="109"/>
        <v>0</v>
      </c>
      <c r="CM115" s="2">
        <f t="shared" si="109"/>
        <v>0</v>
      </c>
      <c r="CN115" s="2">
        <f t="shared" si="109"/>
        <v>0</v>
      </c>
      <c r="CO115" s="2">
        <f t="shared" si="109"/>
        <v>0</v>
      </c>
      <c r="CP115" s="2">
        <f t="shared" si="109"/>
        <v>0</v>
      </c>
      <c r="CQ115" s="2">
        <f t="shared" si="109"/>
        <v>0</v>
      </c>
      <c r="CR115" s="2">
        <f t="shared" si="109"/>
        <v>0</v>
      </c>
      <c r="CS115" s="2">
        <f t="shared" si="109"/>
        <v>0</v>
      </c>
      <c r="CT115" s="2">
        <f t="shared" si="109"/>
        <v>0</v>
      </c>
      <c r="CU115" s="2">
        <f t="shared" si="109"/>
        <v>0</v>
      </c>
      <c r="CV115" s="2">
        <f t="shared" si="109"/>
        <v>0</v>
      </c>
      <c r="CW115" s="2">
        <f t="shared" si="109"/>
        <v>0</v>
      </c>
      <c r="CX115" s="2">
        <f t="shared" si="109"/>
        <v>0</v>
      </c>
      <c r="CY115" s="2">
        <f t="shared" si="109"/>
        <v>0</v>
      </c>
      <c r="CZ115" s="2">
        <f t="shared" si="109"/>
        <v>0</v>
      </c>
      <c r="DA115" s="2">
        <f t="shared" si="109"/>
        <v>0</v>
      </c>
      <c r="DB115" s="2">
        <f t="shared" si="109"/>
        <v>0</v>
      </c>
      <c r="DC115" s="2">
        <f t="shared" si="109"/>
        <v>0</v>
      </c>
      <c r="DD115" s="2">
        <f t="shared" si="109"/>
        <v>0</v>
      </c>
      <c r="DE115" s="2">
        <f t="shared" si="109"/>
        <v>0</v>
      </c>
      <c r="DF115" s="2">
        <f t="shared" si="109"/>
        <v>0</v>
      </c>
      <c r="DG115" s="3">
        <f t="shared" ref="DG115:EL115" si="110">DG123</f>
        <v>0</v>
      </c>
      <c r="DH115" s="3">
        <f t="shared" si="110"/>
        <v>0</v>
      </c>
      <c r="DI115" s="3">
        <f t="shared" si="110"/>
        <v>0</v>
      </c>
      <c r="DJ115" s="3">
        <f t="shared" si="110"/>
        <v>0</v>
      </c>
      <c r="DK115" s="3">
        <f t="shared" si="110"/>
        <v>0</v>
      </c>
      <c r="DL115" s="3">
        <f t="shared" si="110"/>
        <v>0</v>
      </c>
      <c r="DM115" s="3">
        <f t="shared" si="110"/>
        <v>0</v>
      </c>
      <c r="DN115" s="3">
        <f t="shared" si="110"/>
        <v>0</v>
      </c>
      <c r="DO115" s="3">
        <f t="shared" si="110"/>
        <v>0</v>
      </c>
      <c r="DP115" s="3">
        <f t="shared" si="110"/>
        <v>0</v>
      </c>
      <c r="DQ115" s="3">
        <f t="shared" si="110"/>
        <v>0</v>
      </c>
      <c r="DR115" s="3">
        <f t="shared" si="110"/>
        <v>0</v>
      </c>
      <c r="DS115" s="3">
        <f t="shared" si="110"/>
        <v>0</v>
      </c>
      <c r="DT115" s="3">
        <f t="shared" si="110"/>
        <v>0</v>
      </c>
      <c r="DU115" s="3">
        <f t="shared" si="110"/>
        <v>0</v>
      </c>
      <c r="DV115" s="3">
        <f t="shared" si="110"/>
        <v>0</v>
      </c>
      <c r="DW115" s="3">
        <f t="shared" si="110"/>
        <v>0</v>
      </c>
      <c r="DX115" s="3">
        <f t="shared" si="110"/>
        <v>0</v>
      </c>
      <c r="DY115" s="3">
        <f t="shared" si="110"/>
        <v>0</v>
      </c>
      <c r="DZ115" s="3">
        <f t="shared" si="110"/>
        <v>0</v>
      </c>
      <c r="EA115" s="3">
        <f t="shared" si="110"/>
        <v>0</v>
      </c>
      <c r="EB115" s="3">
        <f t="shared" si="110"/>
        <v>0</v>
      </c>
      <c r="EC115" s="3">
        <f t="shared" si="110"/>
        <v>0</v>
      </c>
      <c r="ED115" s="3">
        <f t="shared" si="110"/>
        <v>0</v>
      </c>
      <c r="EE115" s="3">
        <f t="shared" si="110"/>
        <v>0</v>
      </c>
      <c r="EF115" s="3">
        <f t="shared" si="110"/>
        <v>0</v>
      </c>
      <c r="EG115" s="3">
        <f t="shared" si="110"/>
        <v>0</v>
      </c>
      <c r="EH115" s="3">
        <f t="shared" si="110"/>
        <v>0</v>
      </c>
      <c r="EI115" s="3">
        <f t="shared" si="110"/>
        <v>0</v>
      </c>
      <c r="EJ115" s="3">
        <f t="shared" si="110"/>
        <v>0</v>
      </c>
      <c r="EK115" s="3">
        <f t="shared" si="110"/>
        <v>0</v>
      </c>
      <c r="EL115" s="3">
        <f t="shared" si="110"/>
        <v>0</v>
      </c>
      <c r="EM115" s="3">
        <f t="shared" ref="EM115:FR115" si="111">EM123</f>
        <v>0</v>
      </c>
      <c r="EN115" s="3">
        <f t="shared" si="111"/>
        <v>0</v>
      </c>
      <c r="EO115" s="3">
        <f t="shared" si="111"/>
        <v>0</v>
      </c>
      <c r="EP115" s="3">
        <f t="shared" si="111"/>
        <v>0</v>
      </c>
      <c r="EQ115" s="3">
        <f t="shared" si="111"/>
        <v>0</v>
      </c>
      <c r="ER115" s="3">
        <f t="shared" si="111"/>
        <v>0</v>
      </c>
      <c r="ES115" s="3">
        <f t="shared" si="111"/>
        <v>0</v>
      </c>
      <c r="ET115" s="3">
        <f t="shared" si="111"/>
        <v>0</v>
      </c>
      <c r="EU115" s="3">
        <f t="shared" si="111"/>
        <v>0</v>
      </c>
      <c r="EV115" s="3">
        <f t="shared" si="111"/>
        <v>0</v>
      </c>
      <c r="EW115" s="3">
        <f t="shared" si="111"/>
        <v>0</v>
      </c>
      <c r="EX115" s="3">
        <f t="shared" si="111"/>
        <v>0</v>
      </c>
      <c r="EY115" s="3">
        <f t="shared" si="111"/>
        <v>0</v>
      </c>
      <c r="EZ115" s="3">
        <f t="shared" si="111"/>
        <v>0</v>
      </c>
      <c r="FA115" s="3">
        <f t="shared" si="111"/>
        <v>0</v>
      </c>
      <c r="FB115" s="3">
        <f t="shared" si="111"/>
        <v>0</v>
      </c>
      <c r="FC115" s="3">
        <f t="shared" si="111"/>
        <v>0</v>
      </c>
      <c r="FD115" s="3">
        <f t="shared" si="111"/>
        <v>0</v>
      </c>
      <c r="FE115" s="3">
        <f t="shared" si="111"/>
        <v>0</v>
      </c>
      <c r="FF115" s="3">
        <f t="shared" si="111"/>
        <v>0</v>
      </c>
      <c r="FG115" s="3">
        <f t="shared" si="111"/>
        <v>0</v>
      </c>
      <c r="FH115" s="3">
        <f t="shared" si="111"/>
        <v>0</v>
      </c>
      <c r="FI115" s="3">
        <f t="shared" si="111"/>
        <v>0</v>
      </c>
      <c r="FJ115" s="3">
        <f t="shared" si="111"/>
        <v>0</v>
      </c>
      <c r="FK115" s="3">
        <f t="shared" si="111"/>
        <v>0</v>
      </c>
      <c r="FL115" s="3">
        <f t="shared" si="111"/>
        <v>0</v>
      </c>
      <c r="FM115" s="3">
        <f t="shared" si="111"/>
        <v>0</v>
      </c>
      <c r="FN115" s="3">
        <f t="shared" si="111"/>
        <v>0</v>
      </c>
      <c r="FO115" s="3">
        <f t="shared" si="111"/>
        <v>0</v>
      </c>
      <c r="FP115" s="3">
        <f t="shared" si="111"/>
        <v>0</v>
      </c>
      <c r="FQ115" s="3">
        <f t="shared" si="111"/>
        <v>0</v>
      </c>
      <c r="FR115" s="3">
        <f t="shared" si="111"/>
        <v>0</v>
      </c>
      <c r="FS115" s="3">
        <f t="shared" ref="FS115:GX115" si="112">FS123</f>
        <v>0</v>
      </c>
      <c r="FT115" s="3">
        <f t="shared" si="112"/>
        <v>0</v>
      </c>
      <c r="FU115" s="3">
        <f t="shared" si="112"/>
        <v>0</v>
      </c>
      <c r="FV115" s="3">
        <f t="shared" si="112"/>
        <v>0</v>
      </c>
      <c r="FW115" s="3">
        <f t="shared" si="112"/>
        <v>0</v>
      </c>
      <c r="FX115" s="3">
        <f t="shared" si="112"/>
        <v>0</v>
      </c>
      <c r="FY115" s="3">
        <f t="shared" si="112"/>
        <v>0</v>
      </c>
      <c r="FZ115" s="3">
        <f t="shared" si="112"/>
        <v>0</v>
      </c>
      <c r="GA115" s="3">
        <f t="shared" si="112"/>
        <v>0</v>
      </c>
      <c r="GB115" s="3">
        <f t="shared" si="112"/>
        <v>0</v>
      </c>
      <c r="GC115" s="3">
        <f t="shared" si="112"/>
        <v>0</v>
      </c>
      <c r="GD115" s="3">
        <f t="shared" si="112"/>
        <v>0</v>
      </c>
      <c r="GE115" s="3">
        <f t="shared" si="112"/>
        <v>0</v>
      </c>
      <c r="GF115" s="3">
        <f t="shared" si="112"/>
        <v>0</v>
      </c>
      <c r="GG115" s="3">
        <f t="shared" si="112"/>
        <v>0</v>
      </c>
      <c r="GH115" s="3">
        <f t="shared" si="112"/>
        <v>0</v>
      </c>
      <c r="GI115" s="3">
        <f t="shared" si="112"/>
        <v>0</v>
      </c>
      <c r="GJ115" s="3">
        <f t="shared" si="112"/>
        <v>0</v>
      </c>
      <c r="GK115" s="3">
        <f t="shared" si="112"/>
        <v>0</v>
      </c>
      <c r="GL115" s="3">
        <f t="shared" si="112"/>
        <v>0</v>
      </c>
      <c r="GM115" s="3">
        <f t="shared" si="112"/>
        <v>0</v>
      </c>
      <c r="GN115" s="3">
        <f t="shared" si="112"/>
        <v>0</v>
      </c>
      <c r="GO115" s="3">
        <f t="shared" si="112"/>
        <v>0</v>
      </c>
      <c r="GP115" s="3">
        <f t="shared" si="112"/>
        <v>0</v>
      </c>
      <c r="GQ115" s="3">
        <f t="shared" si="112"/>
        <v>0</v>
      </c>
      <c r="GR115" s="3">
        <f t="shared" si="112"/>
        <v>0</v>
      </c>
      <c r="GS115" s="3">
        <f t="shared" si="112"/>
        <v>0</v>
      </c>
      <c r="GT115" s="3">
        <f t="shared" si="112"/>
        <v>0</v>
      </c>
      <c r="GU115" s="3">
        <f t="shared" si="112"/>
        <v>0</v>
      </c>
      <c r="GV115" s="3">
        <f t="shared" si="112"/>
        <v>0</v>
      </c>
      <c r="GW115" s="3">
        <f t="shared" si="112"/>
        <v>0</v>
      </c>
      <c r="GX115" s="3">
        <f t="shared" si="112"/>
        <v>0</v>
      </c>
    </row>
    <row r="117" spans="1:245" x14ac:dyDescent="0.2">
      <c r="A117">
        <v>17</v>
      </c>
      <c r="B117">
        <v>1</v>
      </c>
      <c r="E117" t="s">
        <v>182</v>
      </c>
      <c r="F117" t="s">
        <v>183</v>
      </c>
      <c r="G117" t="s">
        <v>184</v>
      </c>
      <c r="H117" t="s">
        <v>185</v>
      </c>
      <c r="I117">
        <f>ROUND(I31/10,9)</f>
        <v>3.9E-2</v>
      </c>
      <c r="J117">
        <v>0</v>
      </c>
      <c r="O117">
        <f>ROUND(CP117,2)</f>
        <v>6260.73</v>
      </c>
      <c r="P117">
        <f>ROUND((ROUND((AC117*AW117*I117),2)*BC117),2)</f>
        <v>6260.73</v>
      </c>
      <c r="Q117">
        <f>(ROUND((ROUND(((ET117)*AV117*I117),2)*BB117),2)+ROUND((ROUND(((AE117-(EU117))*AV117*I117),2)*BS117),2))</f>
        <v>0</v>
      </c>
      <c r="R117">
        <f>ROUND((ROUND((AE117*AV117*I117),2)*BS117),2)</f>
        <v>0</v>
      </c>
      <c r="S117">
        <f>ROUND((ROUND((AF117*AV117*I117),2)*BA117),2)</f>
        <v>0</v>
      </c>
      <c r="T117">
        <f>ROUND(CU117*I117,2)</f>
        <v>0</v>
      </c>
      <c r="U117">
        <f>CV117*I117</f>
        <v>0</v>
      </c>
      <c r="V117">
        <f>CW117*I117</f>
        <v>0</v>
      </c>
      <c r="W117">
        <f>ROUND(CX117*I117,2)</f>
        <v>0</v>
      </c>
      <c r="X117">
        <f t="shared" ref="X117:Y121" si="113">ROUND(CY117,2)</f>
        <v>0</v>
      </c>
      <c r="Y117">
        <f t="shared" si="113"/>
        <v>0</v>
      </c>
      <c r="AA117">
        <v>23645517</v>
      </c>
      <c r="AB117">
        <f>ROUND((AC117+AD117+AF117),6)</f>
        <v>19941.89</v>
      </c>
      <c r="AC117">
        <f>ROUND((ES117),6)</f>
        <v>19941.89</v>
      </c>
      <c r="AD117">
        <f>ROUND((((ET117)-(EU117))+AE117),6)</f>
        <v>0</v>
      </c>
      <c r="AE117">
        <f t="shared" ref="AE117:AF121" si="114">ROUND((EU117),6)</f>
        <v>0</v>
      </c>
      <c r="AF117">
        <f t="shared" si="114"/>
        <v>0</v>
      </c>
      <c r="AG117">
        <f>ROUND((AP117),6)</f>
        <v>0</v>
      </c>
      <c r="AH117">
        <f t="shared" ref="AH117:AI121" si="115">(EW117)</f>
        <v>0</v>
      </c>
      <c r="AI117">
        <f t="shared" si="115"/>
        <v>0</v>
      </c>
      <c r="AJ117">
        <f>(AS117)</f>
        <v>0</v>
      </c>
      <c r="AK117">
        <v>19941.89</v>
      </c>
      <c r="AL117">
        <v>19941.89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8.0500000000000007</v>
      </c>
      <c r="BD117" t="s">
        <v>3</v>
      </c>
      <c r="BE117" t="s">
        <v>3</v>
      </c>
      <c r="BF117" t="s">
        <v>3</v>
      </c>
      <c r="BG117" t="s">
        <v>3</v>
      </c>
      <c r="BH117">
        <v>3</v>
      </c>
      <c r="BI117">
        <v>2</v>
      </c>
      <c r="BJ117" t="s">
        <v>186</v>
      </c>
      <c r="BM117">
        <v>1618</v>
      </c>
      <c r="BN117">
        <v>0</v>
      </c>
      <c r="BO117" t="s">
        <v>183</v>
      </c>
      <c r="BP117">
        <v>1</v>
      </c>
      <c r="BQ117">
        <v>201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3</v>
      </c>
      <c r="BZ117">
        <v>0</v>
      </c>
      <c r="CA117">
        <v>0</v>
      </c>
      <c r="CE117">
        <v>30</v>
      </c>
      <c r="CF117">
        <v>0</v>
      </c>
      <c r="CG117">
        <v>0</v>
      </c>
      <c r="CM117">
        <v>0</v>
      </c>
      <c r="CN117" t="s">
        <v>3</v>
      </c>
      <c r="CO117">
        <v>0</v>
      </c>
      <c r="CP117">
        <f>(P117+Q117+S117)</f>
        <v>6260.73</v>
      </c>
      <c r="CQ117">
        <f>ROUND((ROUND((AC117*AW117*1),2)*BC117),2)</f>
        <v>160532.21</v>
      </c>
      <c r="CR117">
        <f>(ROUND((ROUND(((ET117)*AV117*1),2)*BB117),2)+ROUND((ROUND(((AE117-(EU117))*AV117*1),2)*BS117),2))</f>
        <v>0</v>
      </c>
      <c r="CS117">
        <f>ROUND((ROUND((AE117*AV117*1),2)*BS117),2)</f>
        <v>0</v>
      </c>
      <c r="CT117">
        <f>ROUND((ROUND((AF117*AV117*1),2)*BA117),2)</f>
        <v>0</v>
      </c>
      <c r="CU117">
        <f>AG117</f>
        <v>0</v>
      </c>
      <c r="CV117">
        <f>(AH117*AV117)</f>
        <v>0</v>
      </c>
      <c r="CW117">
        <f t="shared" ref="CW117:CX121" si="116">AI117</f>
        <v>0</v>
      </c>
      <c r="CX117">
        <f t="shared" si="116"/>
        <v>0</v>
      </c>
      <c r="CY117">
        <f>S117*(BZ117/100)</f>
        <v>0</v>
      </c>
      <c r="CZ117">
        <f>S117*(CA117/100)</f>
        <v>0</v>
      </c>
      <c r="DC117" t="s">
        <v>3</v>
      </c>
      <c r="DD117" t="s">
        <v>3</v>
      </c>
      <c r="DE117" t="s">
        <v>3</v>
      </c>
      <c r="DF117" t="s">
        <v>3</v>
      </c>
      <c r="DG117" t="s">
        <v>3</v>
      </c>
      <c r="DH117" t="s">
        <v>3</v>
      </c>
      <c r="DI117" t="s">
        <v>3</v>
      </c>
      <c r="DJ117" t="s">
        <v>3</v>
      </c>
      <c r="DK117" t="s">
        <v>3</v>
      </c>
      <c r="DL117" t="s">
        <v>3</v>
      </c>
      <c r="DM117" t="s">
        <v>3</v>
      </c>
      <c r="DN117">
        <v>0</v>
      </c>
      <c r="DO117">
        <v>0</v>
      </c>
      <c r="DP117">
        <v>1</v>
      </c>
      <c r="DQ117">
        <v>1</v>
      </c>
      <c r="DU117">
        <v>1003</v>
      </c>
      <c r="DV117" t="s">
        <v>185</v>
      </c>
      <c r="DW117" t="s">
        <v>185</v>
      </c>
      <c r="DX117">
        <v>1000</v>
      </c>
      <c r="DZ117" t="s">
        <v>3</v>
      </c>
      <c r="EA117" t="s">
        <v>3</v>
      </c>
      <c r="EB117" t="s">
        <v>3</v>
      </c>
      <c r="EC117" t="s">
        <v>3</v>
      </c>
      <c r="EE117">
        <v>22828459</v>
      </c>
      <c r="EF117">
        <v>201</v>
      </c>
      <c r="EG117" t="s">
        <v>187</v>
      </c>
      <c r="EH117">
        <v>0</v>
      </c>
      <c r="EI117" t="s">
        <v>3</v>
      </c>
      <c r="EJ117">
        <v>2</v>
      </c>
      <c r="EK117">
        <v>1618</v>
      </c>
      <c r="EL117" t="s">
        <v>188</v>
      </c>
      <c r="EM117" t="s">
        <v>189</v>
      </c>
      <c r="EO117" t="s">
        <v>3</v>
      </c>
      <c r="EQ117">
        <v>0</v>
      </c>
      <c r="ER117">
        <v>19941.89</v>
      </c>
      <c r="ES117">
        <v>19941.89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FQ117">
        <v>0</v>
      </c>
      <c r="FR117">
        <f>ROUND(IF(AND(BH117=3,BI117=3),P117,0),2)</f>
        <v>0</v>
      </c>
      <c r="FS117">
        <v>0</v>
      </c>
      <c r="FX117">
        <v>0</v>
      </c>
      <c r="FY117">
        <v>0</v>
      </c>
      <c r="GA117" t="s">
        <v>3</v>
      </c>
      <c r="GD117">
        <v>0</v>
      </c>
      <c r="GF117">
        <v>1699609350</v>
      </c>
      <c r="GG117">
        <v>2</v>
      </c>
      <c r="GH117">
        <v>1</v>
      </c>
      <c r="GI117">
        <v>2</v>
      </c>
      <c r="GJ117">
        <v>0</v>
      </c>
      <c r="GK117">
        <f>ROUND(R117*(R12)/100,2)</f>
        <v>0</v>
      </c>
      <c r="GL117">
        <f>ROUND(IF(AND(BH117=3,BI117=3,FS117&lt;&gt;0),P117,0),2)</f>
        <v>0</v>
      </c>
      <c r="GM117">
        <f>ROUND(O117+X117+Y117+GK117,2)+GX117</f>
        <v>6260.73</v>
      </c>
      <c r="GN117">
        <f>IF(OR(BI117=0,BI117=1),ROUND(O117+X117+Y117+GK117,2),0)</f>
        <v>0</v>
      </c>
      <c r="GO117">
        <f>IF(BI117=2,ROUND(O117+X117+Y117+GK117,2),0)</f>
        <v>6260.73</v>
      </c>
      <c r="GP117">
        <f>IF(BI117=4,ROUND(O117+X117+Y117+GK117,2)+GX117,0)</f>
        <v>0</v>
      </c>
      <c r="GR117">
        <v>0</v>
      </c>
      <c r="GS117">
        <v>0</v>
      </c>
      <c r="GT117">
        <v>0</v>
      </c>
      <c r="GU117" t="s">
        <v>3</v>
      </c>
      <c r="GV117">
        <f>ROUND((GT117),6)</f>
        <v>0</v>
      </c>
      <c r="GW117">
        <v>1</v>
      </c>
      <c r="GX117">
        <f>ROUND(HC117*I117,2)</f>
        <v>0</v>
      </c>
      <c r="HA117">
        <v>0</v>
      </c>
      <c r="HB117">
        <v>0</v>
      </c>
      <c r="HC117">
        <f>GV117*GW117</f>
        <v>0</v>
      </c>
      <c r="HE117" t="s">
        <v>3</v>
      </c>
      <c r="HF117" t="s">
        <v>3</v>
      </c>
      <c r="IK117">
        <v>0</v>
      </c>
    </row>
    <row r="118" spans="1:245" x14ac:dyDescent="0.2">
      <c r="A118">
        <v>17</v>
      </c>
      <c r="B118">
        <v>1</v>
      </c>
      <c r="E118" t="s">
        <v>190</v>
      </c>
      <c r="F118" t="s">
        <v>191</v>
      </c>
      <c r="G118" t="s">
        <v>192</v>
      </c>
      <c r="H118" t="s">
        <v>185</v>
      </c>
      <c r="I118">
        <f>ROUND(I32/10,9)</f>
        <v>2.7E-2</v>
      </c>
      <c r="J118">
        <v>0</v>
      </c>
      <c r="O118">
        <f>ROUND(CP118,2)</f>
        <v>9201.9</v>
      </c>
      <c r="P118">
        <f>ROUND((ROUND((AC118*AW118*I118),2)*BC118),2)</f>
        <v>9201.9</v>
      </c>
      <c r="Q118">
        <f>(ROUND((ROUND(((ET118)*AV118*I118),2)*BB118),2)+ROUND((ROUND(((AE118-(EU118))*AV118*I118),2)*BS118),2))</f>
        <v>0</v>
      </c>
      <c r="R118">
        <f>ROUND((ROUND((AE118*AV118*I118),2)*BS118),2)</f>
        <v>0</v>
      </c>
      <c r="S118">
        <f>ROUND((ROUND((AF118*AV118*I118),2)*BA118),2)</f>
        <v>0</v>
      </c>
      <c r="T118">
        <f>ROUND(CU118*I118,2)</f>
        <v>0</v>
      </c>
      <c r="U118">
        <f>CV118*I118</f>
        <v>0</v>
      </c>
      <c r="V118">
        <f>CW118*I118</f>
        <v>0</v>
      </c>
      <c r="W118">
        <f>ROUND(CX118*I118,2)</f>
        <v>0</v>
      </c>
      <c r="X118">
        <f t="shared" si="113"/>
        <v>0</v>
      </c>
      <c r="Y118">
        <f t="shared" si="113"/>
        <v>0</v>
      </c>
      <c r="AA118">
        <v>23645517</v>
      </c>
      <c r="AB118">
        <f>ROUND((AC118+AD118+AF118),6)</f>
        <v>99361.96</v>
      </c>
      <c r="AC118">
        <f>ROUND((ES118),6)</f>
        <v>99361.96</v>
      </c>
      <c r="AD118">
        <f>ROUND((((ET118)-(EU118))+AE118),6)</f>
        <v>0</v>
      </c>
      <c r="AE118">
        <f t="shared" si="114"/>
        <v>0</v>
      </c>
      <c r="AF118">
        <f t="shared" si="114"/>
        <v>0</v>
      </c>
      <c r="AG118">
        <f>ROUND((AP118),6)</f>
        <v>0</v>
      </c>
      <c r="AH118">
        <f t="shared" si="115"/>
        <v>0</v>
      </c>
      <c r="AI118">
        <f t="shared" si="115"/>
        <v>0</v>
      </c>
      <c r="AJ118">
        <f>(AS118)</f>
        <v>0</v>
      </c>
      <c r="AK118">
        <v>99361.96</v>
      </c>
      <c r="AL118">
        <v>99361.96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Z118">
        <v>1</v>
      </c>
      <c r="BA118">
        <v>1</v>
      </c>
      <c r="BB118">
        <v>1</v>
      </c>
      <c r="BC118">
        <v>3.43</v>
      </c>
      <c r="BD118" t="s">
        <v>3</v>
      </c>
      <c r="BE118" t="s">
        <v>3</v>
      </c>
      <c r="BF118" t="s">
        <v>3</v>
      </c>
      <c r="BG118" t="s">
        <v>3</v>
      </c>
      <c r="BH118">
        <v>3</v>
      </c>
      <c r="BI118">
        <v>2</v>
      </c>
      <c r="BJ118" t="s">
        <v>193</v>
      </c>
      <c r="BM118">
        <v>1618</v>
      </c>
      <c r="BN118">
        <v>0</v>
      </c>
      <c r="BO118" t="s">
        <v>191</v>
      </c>
      <c r="BP118">
        <v>1</v>
      </c>
      <c r="BQ118">
        <v>201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Y118" t="s">
        <v>3</v>
      </c>
      <c r="BZ118">
        <v>0</v>
      </c>
      <c r="CA118">
        <v>0</v>
      </c>
      <c r="CE118">
        <v>30</v>
      </c>
      <c r="CF118">
        <v>0</v>
      </c>
      <c r="CG118">
        <v>0</v>
      </c>
      <c r="CM118">
        <v>0</v>
      </c>
      <c r="CN118" t="s">
        <v>3</v>
      </c>
      <c r="CO118">
        <v>0</v>
      </c>
      <c r="CP118">
        <f>(P118+Q118+S118)</f>
        <v>9201.9</v>
      </c>
      <c r="CQ118">
        <f>ROUND((ROUND((AC118*AW118*1),2)*BC118),2)</f>
        <v>340811.52000000002</v>
      </c>
      <c r="CR118">
        <f>(ROUND((ROUND(((ET118)*AV118*1),2)*BB118),2)+ROUND((ROUND(((AE118-(EU118))*AV118*1),2)*BS118),2))</f>
        <v>0</v>
      </c>
      <c r="CS118">
        <f>ROUND((ROUND((AE118*AV118*1),2)*BS118),2)</f>
        <v>0</v>
      </c>
      <c r="CT118">
        <f>ROUND((ROUND((AF118*AV118*1),2)*BA118),2)</f>
        <v>0</v>
      </c>
      <c r="CU118">
        <f>AG118</f>
        <v>0</v>
      </c>
      <c r="CV118">
        <f>(AH118*AV118)</f>
        <v>0</v>
      </c>
      <c r="CW118">
        <f t="shared" si="116"/>
        <v>0</v>
      </c>
      <c r="CX118">
        <f t="shared" si="116"/>
        <v>0</v>
      </c>
      <c r="CY118">
        <f>S118*(BZ118/100)</f>
        <v>0</v>
      </c>
      <c r="CZ118">
        <f>S118*(CA118/100)</f>
        <v>0</v>
      </c>
      <c r="DC118" t="s">
        <v>3</v>
      </c>
      <c r="DD118" t="s">
        <v>3</v>
      </c>
      <c r="DE118" t="s">
        <v>3</v>
      </c>
      <c r="DF118" t="s">
        <v>3</v>
      </c>
      <c r="DG118" t="s">
        <v>3</v>
      </c>
      <c r="DH118" t="s">
        <v>3</v>
      </c>
      <c r="DI118" t="s">
        <v>3</v>
      </c>
      <c r="DJ118" t="s">
        <v>3</v>
      </c>
      <c r="DK118" t="s">
        <v>3</v>
      </c>
      <c r="DL118" t="s">
        <v>3</v>
      </c>
      <c r="DM118" t="s">
        <v>3</v>
      </c>
      <c r="DN118">
        <v>0</v>
      </c>
      <c r="DO118">
        <v>0</v>
      </c>
      <c r="DP118">
        <v>1</v>
      </c>
      <c r="DQ118">
        <v>1</v>
      </c>
      <c r="DU118">
        <v>1003</v>
      </c>
      <c r="DV118" t="s">
        <v>185</v>
      </c>
      <c r="DW118" t="s">
        <v>185</v>
      </c>
      <c r="DX118">
        <v>1000</v>
      </c>
      <c r="DZ118" t="s">
        <v>3</v>
      </c>
      <c r="EA118" t="s">
        <v>3</v>
      </c>
      <c r="EB118" t="s">
        <v>3</v>
      </c>
      <c r="EC118" t="s">
        <v>3</v>
      </c>
      <c r="EE118">
        <v>22828459</v>
      </c>
      <c r="EF118">
        <v>201</v>
      </c>
      <c r="EG118" t="s">
        <v>187</v>
      </c>
      <c r="EH118">
        <v>0</v>
      </c>
      <c r="EI118" t="s">
        <v>3</v>
      </c>
      <c r="EJ118">
        <v>2</v>
      </c>
      <c r="EK118">
        <v>1618</v>
      </c>
      <c r="EL118" t="s">
        <v>188</v>
      </c>
      <c r="EM118" t="s">
        <v>189</v>
      </c>
      <c r="EO118" t="s">
        <v>3</v>
      </c>
      <c r="EQ118">
        <v>0</v>
      </c>
      <c r="ER118">
        <v>99361.96</v>
      </c>
      <c r="ES118">
        <v>99361.96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FQ118">
        <v>0</v>
      </c>
      <c r="FR118">
        <f>ROUND(IF(AND(BH118=3,BI118=3),P118,0),2)</f>
        <v>0</v>
      </c>
      <c r="FS118">
        <v>0</v>
      </c>
      <c r="FX118">
        <v>0</v>
      </c>
      <c r="FY118">
        <v>0</v>
      </c>
      <c r="GA118" t="s">
        <v>3</v>
      </c>
      <c r="GD118">
        <v>0</v>
      </c>
      <c r="GF118">
        <v>-1592107865</v>
      </c>
      <c r="GG118">
        <v>2</v>
      </c>
      <c r="GH118">
        <v>1</v>
      </c>
      <c r="GI118">
        <v>2</v>
      </c>
      <c r="GJ118">
        <v>0</v>
      </c>
      <c r="GK118">
        <f>ROUND(R118*(R12)/100,2)</f>
        <v>0</v>
      </c>
      <c r="GL118">
        <f>ROUND(IF(AND(BH118=3,BI118=3,FS118&lt;&gt;0),P118,0),2)</f>
        <v>0</v>
      </c>
      <c r="GM118">
        <f>ROUND(O118+X118+Y118+GK118,2)+GX118</f>
        <v>9201.9</v>
      </c>
      <c r="GN118">
        <f>IF(OR(BI118=0,BI118=1),ROUND(O118+X118+Y118+GK118,2),0)</f>
        <v>0</v>
      </c>
      <c r="GO118">
        <f>IF(BI118=2,ROUND(O118+X118+Y118+GK118,2),0)</f>
        <v>9201.9</v>
      </c>
      <c r="GP118">
        <f>IF(BI118=4,ROUND(O118+X118+Y118+GK118,2)+GX118,0)</f>
        <v>0</v>
      </c>
      <c r="GR118">
        <v>0</v>
      </c>
      <c r="GS118">
        <v>0</v>
      </c>
      <c r="GT118">
        <v>0</v>
      </c>
      <c r="GU118" t="s">
        <v>3</v>
      </c>
      <c r="GV118">
        <f>ROUND((GT118),6)</f>
        <v>0</v>
      </c>
      <c r="GW118">
        <v>1</v>
      </c>
      <c r="GX118">
        <f>ROUND(HC118*I118,2)</f>
        <v>0</v>
      </c>
      <c r="HA118">
        <v>0</v>
      </c>
      <c r="HB118">
        <v>0</v>
      </c>
      <c r="HC118">
        <f>GV118*GW118</f>
        <v>0</v>
      </c>
      <c r="HE118" t="s">
        <v>3</v>
      </c>
      <c r="HF118" t="s">
        <v>3</v>
      </c>
      <c r="IK118">
        <v>0</v>
      </c>
    </row>
    <row r="119" spans="1:245" x14ac:dyDescent="0.2">
      <c r="A119">
        <v>17</v>
      </c>
      <c r="B119">
        <v>1</v>
      </c>
      <c r="E119" t="s">
        <v>194</v>
      </c>
      <c r="F119" t="s">
        <v>195</v>
      </c>
      <c r="G119" t="s">
        <v>196</v>
      </c>
      <c r="H119" t="s">
        <v>197</v>
      </c>
      <c r="I119">
        <v>10</v>
      </c>
      <c r="J119">
        <v>0</v>
      </c>
      <c r="O119">
        <f>ROUND(CP119,2)</f>
        <v>9246.0300000000007</v>
      </c>
      <c r="P119">
        <f>ROUND((ROUND((AC119*AW119*I119),2)*BC119),2)</f>
        <v>9246.0300000000007</v>
      </c>
      <c r="Q119">
        <f>(ROUND((ROUND(((ET119)*AV119*I119),2)*BB119),2)+ROUND((ROUND(((AE119-(EU119))*AV119*I119),2)*BS119),2))</f>
        <v>0</v>
      </c>
      <c r="R119">
        <f>ROUND((ROUND((AE119*AV119*I119),2)*BS119),2)</f>
        <v>0</v>
      </c>
      <c r="S119">
        <f>ROUND((ROUND((AF119*AV119*I119),2)*BA119),2)</f>
        <v>0</v>
      </c>
      <c r="T119">
        <f>ROUND(CU119*I119,2)</f>
        <v>0</v>
      </c>
      <c r="U119">
        <f>CV119*I119</f>
        <v>0</v>
      </c>
      <c r="V119">
        <f>CW119*I119</f>
        <v>0</v>
      </c>
      <c r="W119">
        <f>ROUND(CX119*I119,2)</f>
        <v>0</v>
      </c>
      <c r="X119">
        <f t="shared" si="113"/>
        <v>0</v>
      </c>
      <c r="Y119">
        <f t="shared" si="113"/>
        <v>0</v>
      </c>
      <c r="AA119">
        <v>23645517</v>
      </c>
      <c r="AB119">
        <f>ROUND((AC119+AD119+AF119),6)</f>
        <v>306.16000000000003</v>
      </c>
      <c r="AC119">
        <f>ROUND((ES119),6)</f>
        <v>306.16000000000003</v>
      </c>
      <c r="AD119">
        <f>ROUND((((ET119)-(EU119))+AE119),6)</f>
        <v>0</v>
      </c>
      <c r="AE119">
        <f t="shared" si="114"/>
        <v>0</v>
      </c>
      <c r="AF119">
        <f t="shared" si="114"/>
        <v>0</v>
      </c>
      <c r="AG119">
        <f>ROUND((AP119),6)</f>
        <v>0</v>
      </c>
      <c r="AH119">
        <f t="shared" si="115"/>
        <v>0</v>
      </c>
      <c r="AI119">
        <f t="shared" si="115"/>
        <v>0</v>
      </c>
      <c r="AJ119">
        <f>(AS119)</f>
        <v>0</v>
      </c>
      <c r="AK119">
        <v>306.16000000000003</v>
      </c>
      <c r="AL119">
        <v>306.16000000000003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3.02</v>
      </c>
      <c r="BD119" t="s">
        <v>3</v>
      </c>
      <c r="BE119" t="s">
        <v>3</v>
      </c>
      <c r="BF119" t="s">
        <v>3</v>
      </c>
      <c r="BG119" t="s">
        <v>3</v>
      </c>
      <c r="BH119">
        <v>3</v>
      </c>
      <c r="BI119">
        <v>2</v>
      </c>
      <c r="BJ119" t="s">
        <v>198</v>
      </c>
      <c r="BM119">
        <v>1618</v>
      </c>
      <c r="BN119">
        <v>0</v>
      </c>
      <c r="BO119" t="s">
        <v>195</v>
      </c>
      <c r="BP119">
        <v>1</v>
      </c>
      <c r="BQ119">
        <v>201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3</v>
      </c>
      <c r="BZ119">
        <v>0</v>
      </c>
      <c r="CA119">
        <v>0</v>
      </c>
      <c r="CE119">
        <v>30</v>
      </c>
      <c r="CF119">
        <v>0</v>
      </c>
      <c r="CG119">
        <v>0</v>
      </c>
      <c r="CM119">
        <v>0</v>
      </c>
      <c r="CN119" t="s">
        <v>3</v>
      </c>
      <c r="CO119">
        <v>0</v>
      </c>
      <c r="CP119">
        <f>(P119+Q119+S119)</f>
        <v>9246.0300000000007</v>
      </c>
      <c r="CQ119">
        <f>ROUND((ROUND((AC119*AW119*1),2)*BC119),2)</f>
        <v>924.6</v>
      </c>
      <c r="CR119">
        <f>(ROUND((ROUND(((ET119)*AV119*1),2)*BB119),2)+ROUND((ROUND(((AE119-(EU119))*AV119*1),2)*BS119),2))</f>
        <v>0</v>
      </c>
      <c r="CS119">
        <f>ROUND((ROUND((AE119*AV119*1),2)*BS119),2)</f>
        <v>0</v>
      </c>
      <c r="CT119">
        <f>ROUND((ROUND((AF119*AV119*1),2)*BA119),2)</f>
        <v>0</v>
      </c>
      <c r="CU119">
        <f>AG119</f>
        <v>0</v>
      </c>
      <c r="CV119">
        <f>(AH119*AV119)</f>
        <v>0</v>
      </c>
      <c r="CW119">
        <f t="shared" si="116"/>
        <v>0</v>
      </c>
      <c r="CX119">
        <f t="shared" si="116"/>
        <v>0</v>
      </c>
      <c r="CY119">
        <f>S119*(BZ119/100)</f>
        <v>0</v>
      </c>
      <c r="CZ119">
        <f>S119*(CA119/100)</f>
        <v>0</v>
      </c>
      <c r="DC119" t="s">
        <v>3</v>
      </c>
      <c r="DD119" t="s">
        <v>3</v>
      </c>
      <c r="DE119" t="s">
        <v>3</v>
      </c>
      <c r="DF119" t="s">
        <v>3</v>
      </c>
      <c r="DG119" t="s">
        <v>3</v>
      </c>
      <c r="DH119" t="s">
        <v>3</v>
      </c>
      <c r="DI119" t="s">
        <v>3</v>
      </c>
      <c r="DJ119" t="s">
        <v>3</v>
      </c>
      <c r="DK119" t="s">
        <v>3</v>
      </c>
      <c r="DL119" t="s">
        <v>3</v>
      </c>
      <c r="DM119" t="s">
        <v>3</v>
      </c>
      <c r="DN119">
        <v>0</v>
      </c>
      <c r="DO119">
        <v>0</v>
      </c>
      <c r="DP119">
        <v>1</v>
      </c>
      <c r="DQ119">
        <v>1</v>
      </c>
      <c r="DU119">
        <v>1013</v>
      </c>
      <c r="DV119" t="s">
        <v>197</v>
      </c>
      <c r="DW119" t="s">
        <v>197</v>
      </c>
      <c r="DX119">
        <v>1</v>
      </c>
      <c r="DZ119" t="s">
        <v>3</v>
      </c>
      <c r="EA119" t="s">
        <v>3</v>
      </c>
      <c r="EB119" t="s">
        <v>3</v>
      </c>
      <c r="EC119" t="s">
        <v>3</v>
      </c>
      <c r="EE119">
        <v>22828459</v>
      </c>
      <c r="EF119">
        <v>201</v>
      </c>
      <c r="EG119" t="s">
        <v>187</v>
      </c>
      <c r="EH119">
        <v>0</v>
      </c>
      <c r="EI119" t="s">
        <v>3</v>
      </c>
      <c r="EJ119">
        <v>2</v>
      </c>
      <c r="EK119">
        <v>1618</v>
      </c>
      <c r="EL119" t="s">
        <v>188</v>
      </c>
      <c r="EM119" t="s">
        <v>189</v>
      </c>
      <c r="EO119" t="s">
        <v>3</v>
      </c>
      <c r="EQ119">
        <v>0</v>
      </c>
      <c r="ER119">
        <v>306.16000000000003</v>
      </c>
      <c r="ES119">
        <v>306.16000000000003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FQ119">
        <v>0</v>
      </c>
      <c r="FR119">
        <f>ROUND(IF(AND(BH119=3,BI119=3),P119,0),2)</f>
        <v>0</v>
      </c>
      <c r="FS119">
        <v>0</v>
      </c>
      <c r="FX119">
        <v>0</v>
      </c>
      <c r="FY119">
        <v>0</v>
      </c>
      <c r="GA119" t="s">
        <v>3</v>
      </c>
      <c r="GD119">
        <v>0</v>
      </c>
      <c r="GF119">
        <v>-76654691</v>
      </c>
      <c r="GG119">
        <v>2</v>
      </c>
      <c r="GH119">
        <v>1</v>
      </c>
      <c r="GI119">
        <v>2</v>
      </c>
      <c r="GJ119">
        <v>0</v>
      </c>
      <c r="GK119">
        <f>ROUND(R119*(R12)/100,2)</f>
        <v>0</v>
      </c>
      <c r="GL119">
        <f>ROUND(IF(AND(BH119=3,BI119=3,FS119&lt;&gt;0),P119,0),2)</f>
        <v>0</v>
      </c>
      <c r="GM119">
        <f>ROUND(O119+X119+Y119+GK119,2)+GX119</f>
        <v>9246.0300000000007</v>
      </c>
      <c r="GN119">
        <f>IF(OR(BI119=0,BI119=1),ROUND(O119+X119+Y119+GK119,2),0)</f>
        <v>0</v>
      </c>
      <c r="GO119">
        <f>IF(BI119=2,ROUND(O119+X119+Y119+GK119,2),0)</f>
        <v>9246.0300000000007</v>
      </c>
      <c r="GP119">
        <f>IF(BI119=4,ROUND(O119+X119+Y119+GK119,2)+GX119,0)</f>
        <v>0</v>
      </c>
      <c r="GR119">
        <v>0</v>
      </c>
      <c r="GS119">
        <v>3</v>
      </c>
      <c r="GT119">
        <v>0</v>
      </c>
      <c r="GU119" t="s">
        <v>3</v>
      </c>
      <c r="GV119">
        <f>ROUND((GT119),6)</f>
        <v>0</v>
      </c>
      <c r="GW119">
        <v>1</v>
      </c>
      <c r="GX119">
        <f>ROUND(HC119*I119,2)</f>
        <v>0</v>
      </c>
      <c r="HA119">
        <v>0</v>
      </c>
      <c r="HB119">
        <v>0</v>
      </c>
      <c r="HC119">
        <f>GV119*GW119</f>
        <v>0</v>
      </c>
      <c r="HE119" t="s">
        <v>3</v>
      </c>
      <c r="HF119" t="s">
        <v>3</v>
      </c>
      <c r="IK119">
        <v>0</v>
      </c>
    </row>
    <row r="120" spans="1:245" x14ac:dyDescent="0.2">
      <c r="A120">
        <v>17</v>
      </c>
      <c r="B120">
        <v>1</v>
      </c>
      <c r="E120" t="s">
        <v>199</v>
      </c>
      <c r="F120" t="s">
        <v>200</v>
      </c>
      <c r="G120" t="s">
        <v>201</v>
      </c>
      <c r="H120" t="s">
        <v>26</v>
      </c>
      <c r="I120">
        <f>ROUND(0.011,9)</f>
        <v>1.0999999999999999E-2</v>
      </c>
      <c r="J120">
        <v>0</v>
      </c>
      <c r="O120">
        <f>ROUND(CP120,2)</f>
        <v>2171.9</v>
      </c>
      <c r="P120">
        <f>ROUND((ROUND((AC120*AW120*I120),2)*BC120),2)</f>
        <v>2171.9</v>
      </c>
      <c r="Q120">
        <f>(ROUND((ROUND(((ET120)*AV120*I120),2)*BB120),2)+ROUND((ROUND(((AE120-(EU120))*AV120*I120),2)*BS120),2))</f>
        <v>0</v>
      </c>
      <c r="R120">
        <f>ROUND((ROUND((AE120*AV120*I120),2)*BS120),2)</f>
        <v>0</v>
      </c>
      <c r="S120">
        <f>ROUND((ROUND((AF120*AV120*I120),2)*BA120),2)</f>
        <v>0</v>
      </c>
      <c r="T120">
        <f>ROUND(CU120*I120,2)</f>
        <v>0</v>
      </c>
      <c r="U120">
        <f>CV120*I120</f>
        <v>0</v>
      </c>
      <c r="V120">
        <f>CW120*I120</f>
        <v>0</v>
      </c>
      <c r="W120">
        <f>ROUND(CX120*I120,2)</f>
        <v>0</v>
      </c>
      <c r="X120">
        <f t="shared" si="113"/>
        <v>0</v>
      </c>
      <c r="Y120">
        <f t="shared" si="113"/>
        <v>0</v>
      </c>
      <c r="AA120">
        <v>23645517</v>
      </c>
      <c r="AB120">
        <f>ROUND((AC120+AD120+AF120),6)</f>
        <v>31290.95</v>
      </c>
      <c r="AC120">
        <f>ROUND((ES120),6)</f>
        <v>31290.95</v>
      </c>
      <c r="AD120">
        <f>ROUND((((ET120)-(EU120))+AE120),6)</f>
        <v>0</v>
      </c>
      <c r="AE120">
        <f t="shared" si="114"/>
        <v>0</v>
      </c>
      <c r="AF120">
        <f t="shared" si="114"/>
        <v>0</v>
      </c>
      <c r="AG120">
        <f>ROUND((AP120),6)</f>
        <v>0</v>
      </c>
      <c r="AH120">
        <f t="shared" si="115"/>
        <v>0</v>
      </c>
      <c r="AI120">
        <f t="shared" si="115"/>
        <v>0</v>
      </c>
      <c r="AJ120">
        <f>(AS120)</f>
        <v>0</v>
      </c>
      <c r="AK120">
        <v>31290.95</v>
      </c>
      <c r="AL120">
        <v>31290.95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6.31</v>
      </c>
      <c r="BD120" t="s">
        <v>3</v>
      </c>
      <c r="BE120" t="s">
        <v>3</v>
      </c>
      <c r="BF120" t="s">
        <v>3</v>
      </c>
      <c r="BG120" t="s">
        <v>3</v>
      </c>
      <c r="BH120">
        <v>3</v>
      </c>
      <c r="BI120">
        <v>2</v>
      </c>
      <c r="BJ120" t="s">
        <v>202</v>
      </c>
      <c r="BM120">
        <v>1618</v>
      </c>
      <c r="BN120">
        <v>0</v>
      </c>
      <c r="BO120" t="s">
        <v>200</v>
      </c>
      <c r="BP120">
        <v>1</v>
      </c>
      <c r="BQ120">
        <v>201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0</v>
      </c>
      <c r="CA120">
        <v>0</v>
      </c>
      <c r="CE120">
        <v>30</v>
      </c>
      <c r="CF120">
        <v>0</v>
      </c>
      <c r="CG120">
        <v>0</v>
      </c>
      <c r="CM120">
        <v>0</v>
      </c>
      <c r="CN120" t="s">
        <v>3</v>
      </c>
      <c r="CO120">
        <v>0</v>
      </c>
      <c r="CP120">
        <f>(P120+Q120+S120)</f>
        <v>2171.9</v>
      </c>
      <c r="CQ120">
        <f>ROUND((ROUND((AC120*AW120*1),2)*BC120),2)</f>
        <v>197445.89</v>
      </c>
      <c r="CR120">
        <f>(ROUND((ROUND(((ET120)*AV120*1),2)*BB120),2)+ROUND((ROUND(((AE120-(EU120))*AV120*1),2)*BS120),2))</f>
        <v>0</v>
      </c>
      <c r="CS120">
        <f>ROUND((ROUND((AE120*AV120*1),2)*BS120),2)</f>
        <v>0</v>
      </c>
      <c r="CT120">
        <f>ROUND((ROUND((AF120*AV120*1),2)*BA120),2)</f>
        <v>0</v>
      </c>
      <c r="CU120">
        <f>AG120</f>
        <v>0</v>
      </c>
      <c r="CV120">
        <f>(AH120*AV120)</f>
        <v>0</v>
      </c>
      <c r="CW120">
        <f t="shared" si="116"/>
        <v>0</v>
      </c>
      <c r="CX120">
        <f t="shared" si="116"/>
        <v>0</v>
      </c>
      <c r="CY120">
        <f>S120*(BZ120/100)</f>
        <v>0</v>
      </c>
      <c r="CZ120">
        <f>S120*(CA120/100)</f>
        <v>0</v>
      </c>
      <c r="DC120" t="s">
        <v>3</v>
      </c>
      <c r="DD120" t="s">
        <v>3</v>
      </c>
      <c r="DE120" t="s">
        <v>3</v>
      </c>
      <c r="DF120" t="s">
        <v>3</v>
      </c>
      <c r="DG120" t="s">
        <v>3</v>
      </c>
      <c r="DH120" t="s">
        <v>3</v>
      </c>
      <c r="DI120" t="s">
        <v>3</v>
      </c>
      <c r="DJ120" t="s">
        <v>3</v>
      </c>
      <c r="DK120" t="s">
        <v>3</v>
      </c>
      <c r="DL120" t="s">
        <v>3</v>
      </c>
      <c r="DM120" t="s">
        <v>3</v>
      </c>
      <c r="DN120">
        <v>0</v>
      </c>
      <c r="DO120">
        <v>0</v>
      </c>
      <c r="DP120">
        <v>1</v>
      </c>
      <c r="DQ120">
        <v>1</v>
      </c>
      <c r="DU120">
        <v>1009</v>
      </c>
      <c r="DV120" t="s">
        <v>26</v>
      </c>
      <c r="DW120" t="s">
        <v>26</v>
      </c>
      <c r="DX120">
        <v>1000</v>
      </c>
      <c r="DZ120" t="s">
        <v>3</v>
      </c>
      <c r="EA120" t="s">
        <v>3</v>
      </c>
      <c r="EB120" t="s">
        <v>3</v>
      </c>
      <c r="EC120" t="s">
        <v>3</v>
      </c>
      <c r="EE120">
        <v>22828459</v>
      </c>
      <c r="EF120">
        <v>201</v>
      </c>
      <c r="EG120" t="s">
        <v>187</v>
      </c>
      <c r="EH120">
        <v>0</v>
      </c>
      <c r="EI120" t="s">
        <v>3</v>
      </c>
      <c r="EJ120">
        <v>2</v>
      </c>
      <c r="EK120">
        <v>1618</v>
      </c>
      <c r="EL120" t="s">
        <v>188</v>
      </c>
      <c r="EM120" t="s">
        <v>189</v>
      </c>
      <c r="EO120" t="s">
        <v>3</v>
      </c>
      <c r="EQ120">
        <v>0</v>
      </c>
      <c r="ER120">
        <v>31290.95</v>
      </c>
      <c r="ES120">
        <v>31290.95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FQ120">
        <v>0</v>
      </c>
      <c r="FR120">
        <f>ROUND(IF(AND(BH120=3,BI120=3),P120,0),2)</f>
        <v>0</v>
      </c>
      <c r="FS120">
        <v>0</v>
      </c>
      <c r="FX120">
        <v>0</v>
      </c>
      <c r="FY120">
        <v>0</v>
      </c>
      <c r="GA120" t="s">
        <v>3</v>
      </c>
      <c r="GD120">
        <v>0</v>
      </c>
      <c r="GF120">
        <v>-19701161</v>
      </c>
      <c r="GG120">
        <v>2</v>
      </c>
      <c r="GH120">
        <v>1</v>
      </c>
      <c r="GI120">
        <v>2</v>
      </c>
      <c r="GJ120">
        <v>0</v>
      </c>
      <c r="GK120">
        <f>ROUND(R120*(R12)/100,2)</f>
        <v>0</v>
      </c>
      <c r="GL120">
        <f>ROUND(IF(AND(BH120=3,BI120=3,FS120&lt;&gt;0),P120,0),2)</f>
        <v>0</v>
      </c>
      <c r="GM120">
        <f>ROUND(O120+X120+Y120+GK120,2)+GX120</f>
        <v>2171.9</v>
      </c>
      <c r="GN120">
        <f>IF(OR(BI120=0,BI120=1),ROUND(O120+X120+Y120+GK120,2),0)</f>
        <v>0</v>
      </c>
      <c r="GO120">
        <f>IF(BI120=2,ROUND(O120+X120+Y120+GK120,2),0)</f>
        <v>2171.9</v>
      </c>
      <c r="GP120">
        <f>IF(BI120=4,ROUND(O120+X120+Y120+GK120,2)+GX120,0)</f>
        <v>0</v>
      </c>
      <c r="GR120">
        <v>0</v>
      </c>
      <c r="GS120">
        <v>3</v>
      </c>
      <c r="GT120">
        <v>0</v>
      </c>
      <c r="GU120" t="s">
        <v>3</v>
      </c>
      <c r="GV120">
        <f>ROUND((GT120),6)</f>
        <v>0</v>
      </c>
      <c r="GW120">
        <v>1</v>
      </c>
      <c r="GX120">
        <f>ROUND(HC120*I120,2)</f>
        <v>0</v>
      </c>
      <c r="HA120">
        <v>0</v>
      </c>
      <c r="HB120">
        <v>0</v>
      </c>
      <c r="HC120">
        <f>GV120*GW120</f>
        <v>0</v>
      </c>
      <c r="HE120" t="s">
        <v>3</v>
      </c>
      <c r="HF120" t="s">
        <v>3</v>
      </c>
      <c r="IK120">
        <v>0</v>
      </c>
    </row>
    <row r="121" spans="1:245" x14ac:dyDescent="0.2">
      <c r="A121">
        <v>17</v>
      </c>
      <c r="B121">
        <v>1</v>
      </c>
      <c r="E121" t="s">
        <v>203</v>
      </c>
      <c r="F121" t="s">
        <v>204</v>
      </c>
      <c r="G121" t="s">
        <v>205</v>
      </c>
      <c r="H121" t="s">
        <v>206</v>
      </c>
      <c r="I121">
        <v>1</v>
      </c>
      <c r="J121">
        <v>0</v>
      </c>
      <c r="O121">
        <f>ROUND(CP121,2)</f>
        <v>519757.17</v>
      </c>
      <c r="P121">
        <f>ROUND((ROUND((AC121*AW121*I121),2)*BC121),2)</f>
        <v>519757.17</v>
      </c>
      <c r="Q121">
        <f>(ROUND((ROUND(((ET121)*AV121*I121),2)*BB121),2)+ROUND((ROUND(((AE121-(EU121))*AV121*I121),2)*BS121),2))</f>
        <v>0</v>
      </c>
      <c r="R121">
        <f>ROUND((ROUND((AE121*AV121*I121),2)*BS121),2)</f>
        <v>0</v>
      </c>
      <c r="S121">
        <f>ROUND((ROUND((AF121*AV121*I121),2)*BA121),2)</f>
        <v>0</v>
      </c>
      <c r="T121">
        <f>ROUND(CU121*I121,2)</f>
        <v>0</v>
      </c>
      <c r="U121">
        <f>CV121*I121</f>
        <v>0</v>
      </c>
      <c r="V121">
        <f>CW121*I121</f>
        <v>0</v>
      </c>
      <c r="W121">
        <f>ROUND(CX121*I121,2)</f>
        <v>0</v>
      </c>
      <c r="X121">
        <f t="shared" si="113"/>
        <v>0</v>
      </c>
      <c r="Y121">
        <f t="shared" si="113"/>
        <v>0</v>
      </c>
      <c r="AA121">
        <v>23645517</v>
      </c>
      <c r="AB121">
        <f>ROUND((AC121+AD121+AF121),6)</f>
        <v>519757.17</v>
      </c>
      <c r="AC121">
        <f>ROUND((ES121),6)</f>
        <v>519757.17</v>
      </c>
      <c r="AD121">
        <f>ROUND((((ET121)-(EU121))+AE121),6)</f>
        <v>0</v>
      </c>
      <c r="AE121">
        <f t="shared" si="114"/>
        <v>0</v>
      </c>
      <c r="AF121">
        <f t="shared" si="114"/>
        <v>0</v>
      </c>
      <c r="AG121">
        <f>ROUND((AP121),6)</f>
        <v>0</v>
      </c>
      <c r="AH121">
        <f t="shared" si="115"/>
        <v>0</v>
      </c>
      <c r="AI121">
        <f t="shared" si="115"/>
        <v>0</v>
      </c>
      <c r="AJ121">
        <f>(AS121)</f>
        <v>0</v>
      </c>
      <c r="AK121">
        <v>519757.17</v>
      </c>
      <c r="AL121">
        <v>519757.17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1</v>
      </c>
      <c r="BD121" t="s">
        <v>3</v>
      </c>
      <c r="BE121" t="s">
        <v>3</v>
      </c>
      <c r="BF121" t="s">
        <v>3</v>
      </c>
      <c r="BG121" t="s">
        <v>3</v>
      </c>
      <c r="BH121">
        <v>3</v>
      </c>
      <c r="BI121">
        <v>4</v>
      </c>
      <c r="BJ121" t="s">
        <v>3</v>
      </c>
      <c r="BM121">
        <v>0</v>
      </c>
      <c r="BN121">
        <v>0</v>
      </c>
      <c r="BO121" t="s">
        <v>3</v>
      </c>
      <c r="BP121">
        <v>0</v>
      </c>
      <c r="BQ121">
        <v>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</v>
      </c>
      <c r="BZ121">
        <v>0</v>
      </c>
      <c r="CA121">
        <v>0</v>
      </c>
      <c r="CE121">
        <v>30</v>
      </c>
      <c r="CF121">
        <v>0</v>
      </c>
      <c r="CG121">
        <v>0</v>
      </c>
      <c r="CM121">
        <v>0</v>
      </c>
      <c r="CN121" t="s">
        <v>3</v>
      </c>
      <c r="CO121">
        <v>0</v>
      </c>
      <c r="CP121">
        <f>(P121+Q121+S121)</f>
        <v>519757.17</v>
      </c>
      <c r="CQ121">
        <f>ROUND((ROUND((AC121*AW121*1),2)*BC121),2)</f>
        <v>519757.17</v>
      </c>
      <c r="CR121">
        <f>(ROUND((ROUND(((ET121)*AV121*1),2)*BB121),2)+ROUND((ROUND(((AE121-(EU121))*AV121*1),2)*BS121),2))</f>
        <v>0</v>
      </c>
      <c r="CS121">
        <f>ROUND((ROUND((AE121*AV121*1),2)*BS121),2)</f>
        <v>0</v>
      </c>
      <c r="CT121">
        <f>ROUND((ROUND((AF121*AV121*1),2)*BA121),2)</f>
        <v>0</v>
      </c>
      <c r="CU121">
        <f>AG121</f>
        <v>0</v>
      </c>
      <c r="CV121">
        <f>(AH121*AV121)</f>
        <v>0</v>
      </c>
      <c r="CW121">
        <f t="shared" si="116"/>
        <v>0</v>
      </c>
      <c r="CX121">
        <f t="shared" si="116"/>
        <v>0</v>
      </c>
      <c r="CY121">
        <f>S121*(BZ121/100)</f>
        <v>0</v>
      </c>
      <c r="CZ121">
        <f>S121*(CA121/100)</f>
        <v>0</v>
      </c>
      <c r="DC121" t="s">
        <v>3</v>
      </c>
      <c r="DD121" t="s">
        <v>3</v>
      </c>
      <c r="DE121" t="s">
        <v>3</v>
      </c>
      <c r="DF121" t="s">
        <v>3</v>
      </c>
      <c r="DG121" t="s">
        <v>3</v>
      </c>
      <c r="DH121" t="s">
        <v>3</v>
      </c>
      <c r="DI121" t="s">
        <v>3</v>
      </c>
      <c r="DJ121" t="s">
        <v>3</v>
      </c>
      <c r="DK121" t="s">
        <v>3</v>
      </c>
      <c r="DL121" t="s">
        <v>3</v>
      </c>
      <c r="DM121" t="s">
        <v>3</v>
      </c>
      <c r="DN121">
        <v>0</v>
      </c>
      <c r="DO121">
        <v>0</v>
      </c>
      <c r="DP121">
        <v>1</v>
      </c>
      <c r="DQ121">
        <v>1</v>
      </c>
      <c r="DU121">
        <v>1013</v>
      </c>
      <c r="DV121" t="s">
        <v>206</v>
      </c>
      <c r="DW121" t="s">
        <v>206</v>
      </c>
      <c r="DX121">
        <v>1</v>
      </c>
      <c r="DZ121" t="s">
        <v>3</v>
      </c>
      <c r="EA121" t="s">
        <v>3</v>
      </c>
      <c r="EB121" t="s">
        <v>3</v>
      </c>
      <c r="EC121" t="s">
        <v>3</v>
      </c>
      <c r="EE121">
        <v>22826841</v>
      </c>
      <c r="EF121">
        <v>0</v>
      </c>
      <c r="EG121" t="s">
        <v>3</v>
      </c>
      <c r="EH121">
        <v>0</v>
      </c>
      <c r="EI121" t="s">
        <v>3</v>
      </c>
      <c r="EJ121">
        <v>4</v>
      </c>
      <c r="EK121">
        <v>0</v>
      </c>
      <c r="EL121" t="s">
        <v>207</v>
      </c>
      <c r="EM121" t="s">
        <v>208</v>
      </c>
      <c r="EO121" t="s">
        <v>3</v>
      </c>
      <c r="EQ121">
        <v>0</v>
      </c>
      <c r="ER121">
        <v>519757.17</v>
      </c>
      <c r="ES121">
        <v>519757.17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5</v>
      </c>
      <c r="FC121">
        <v>0</v>
      </c>
      <c r="FD121">
        <v>18</v>
      </c>
      <c r="FF121">
        <v>519757.17</v>
      </c>
      <c r="FQ121">
        <v>0</v>
      </c>
      <c r="FR121">
        <f>ROUND(IF(AND(BH121=3,BI121=3),P121,0),2)</f>
        <v>0</v>
      </c>
      <c r="FS121">
        <v>0</v>
      </c>
      <c r="FX121">
        <v>0</v>
      </c>
      <c r="FY121">
        <v>0</v>
      </c>
      <c r="GA121" t="s">
        <v>3</v>
      </c>
      <c r="GD121">
        <v>0</v>
      </c>
      <c r="GF121">
        <v>1502785961</v>
      </c>
      <c r="GG121">
        <v>2</v>
      </c>
      <c r="GH121">
        <v>3</v>
      </c>
      <c r="GI121">
        <v>-2</v>
      </c>
      <c r="GJ121">
        <v>0</v>
      </c>
      <c r="GK121">
        <f>ROUND(R121*(R12)/100,2)</f>
        <v>0</v>
      </c>
      <c r="GL121">
        <f>ROUND(IF(AND(BH121=3,BI121=3,FS121&lt;&gt;0),P121,0),2)</f>
        <v>0</v>
      </c>
      <c r="GM121">
        <f>ROUND(O121+X121+Y121+GK121,2)+GX121</f>
        <v>519757.17</v>
      </c>
      <c r="GN121">
        <f>IF(OR(BI121=0,BI121=1),ROUND(O121+X121+Y121+GK121,2),0)</f>
        <v>0</v>
      </c>
      <c r="GO121">
        <f>IF(BI121=2,ROUND(O121+X121+Y121+GK121,2),0)</f>
        <v>0</v>
      </c>
      <c r="GP121">
        <f>IF(BI121=4,ROUND(O121+X121+Y121+GK121,2)+GX121,0)</f>
        <v>519757.17</v>
      </c>
      <c r="GR121">
        <v>1</v>
      </c>
      <c r="GS121">
        <v>1</v>
      </c>
      <c r="GT121">
        <v>0</v>
      </c>
      <c r="GU121" t="s">
        <v>3</v>
      </c>
      <c r="GV121">
        <f>ROUND((GT121),6)</f>
        <v>0</v>
      </c>
      <c r="GW121">
        <v>1</v>
      </c>
      <c r="GX121">
        <f>ROUND(HC121*I121,2)</f>
        <v>0</v>
      </c>
      <c r="HA121">
        <v>0</v>
      </c>
      <c r="HB121">
        <v>0</v>
      </c>
      <c r="HC121">
        <f>GV121*GW121</f>
        <v>0</v>
      </c>
      <c r="HE121" t="s">
        <v>3</v>
      </c>
      <c r="HF121" t="s">
        <v>3</v>
      </c>
      <c r="IK121">
        <v>0</v>
      </c>
    </row>
    <row r="123" spans="1:245" x14ac:dyDescent="0.2">
      <c r="A123" s="2">
        <v>51</v>
      </c>
      <c r="B123" s="2">
        <f>B113</f>
        <v>1</v>
      </c>
      <c r="C123" s="2">
        <f>A113</f>
        <v>4</v>
      </c>
      <c r="D123" s="2">
        <f>ROW(A113)</f>
        <v>113</v>
      </c>
      <c r="E123" s="2"/>
      <c r="F123" s="2" t="str">
        <f>IF(F113&lt;&gt;"",F113,"")</f>
        <v>Новый раздел</v>
      </c>
      <c r="G123" s="2" t="str">
        <f>IF(G113&lt;&gt;"",G113,"")</f>
        <v>Материалы, не учтенные ценником и оборудование.</v>
      </c>
      <c r="H123" s="2">
        <v>0</v>
      </c>
      <c r="I123" s="2"/>
      <c r="J123" s="2"/>
      <c r="K123" s="2"/>
      <c r="L123" s="2"/>
      <c r="M123" s="2"/>
      <c r="N123" s="2"/>
      <c r="O123" s="2">
        <f t="shared" ref="O123:T123" si="117">ROUND(AB123,2)</f>
        <v>546637.73</v>
      </c>
      <c r="P123" s="2">
        <f t="shared" si="117"/>
        <v>546637.73</v>
      </c>
      <c r="Q123" s="2">
        <f t="shared" si="117"/>
        <v>0</v>
      </c>
      <c r="R123" s="2">
        <f t="shared" si="117"/>
        <v>0</v>
      </c>
      <c r="S123" s="2">
        <f t="shared" si="117"/>
        <v>0</v>
      </c>
      <c r="T123" s="2">
        <f t="shared" si="117"/>
        <v>0</v>
      </c>
      <c r="U123" s="2">
        <f>AH123</f>
        <v>0</v>
      </c>
      <c r="V123" s="2">
        <f>AI123</f>
        <v>0</v>
      </c>
      <c r="W123" s="2">
        <f>ROUND(AJ123,2)</f>
        <v>0</v>
      </c>
      <c r="X123" s="2">
        <f>ROUND(AK123,2)</f>
        <v>0</v>
      </c>
      <c r="Y123" s="2">
        <f>ROUND(AL123,2)</f>
        <v>0</v>
      </c>
      <c r="Z123" s="2"/>
      <c r="AA123" s="2"/>
      <c r="AB123" s="2">
        <f>ROUND(SUMIF(AA117:AA121,"=23645517",O117:O121),2)</f>
        <v>546637.73</v>
      </c>
      <c r="AC123" s="2">
        <f>ROUND(SUMIF(AA117:AA121,"=23645517",P117:P121),2)</f>
        <v>546637.73</v>
      </c>
      <c r="AD123" s="2">
        <f>ROUND(SUMIF(AA117:AA121,"=23645517",Q117:Q121),2)</f>
        <v>0</v>
      </c>
      <c r="AE123" s="2">
        <f>ROUND(SUMIF(AA117:AA121,"=23645517",R117:R121),2)</f>
        <v>0</v>
      </c>
      <c r="AF123" s="2">
        <f>ROUND(SUMIF(AA117:AA121,"=23645517",S117:S121),2)</f>
        <v>0</v>
      </c>
      <c r="AG123" s="2">
        <f>ROUND(SUMIF(AA117:AA121,"=23645517",T117:T121),2)</f>
        <v>0</v>
      </c>
      <c r="AH123" s="2">
        <f>SUMIF(AA117:AA121,"=23645517",U117:U121)</f>
        <v>0</v>
      </c>
      <c r="AI123" s="2">
        <f>SUMIF(AA117:AA121,"=23645517",V117:V121)</f>
        <v>0</v>
      </c>
      <c r="AJ123" s="2">
        <f>ROUND(SUMIF(AA117:AA121,"=23645517",W117:W121),2)</f>
        <v>0</v>
      </c>
      <c r="AK123" s="2">
        <f>ROUND(SUMIF(AA117:AA121,"=23645517",X117:X121),2)</f>
        <v>0</v>
      </c>
      <c r="AL123" s="2">
        <f>ROUND(SUMIF(AA117:AA121,"=23645517",Y117:Y121),2)</f>
        <v>0</v>
      </c>
      <c r="AM123" s="2"/>
      <c r="AN123" s="2"/>
      <c r="AO123" s="2">
        <f t="shared" ref="AO123:BD123" si="118">ROUND(BX123,2)</f>
        <v>0</v>
      </c>
      <c r="AP123" s="2">
        <f t="shared" si="118"/>
        <v>0</v>
      </c>
      <c r="AQ123" s="2">
        <f t="shared" si="118"/>
        <v>0</v>
      </c>
      <c r="AR123" s="2">
        <f t="shared" si="118"/>
        <v>546637.73</v>
      </c>
      <c r="AS123" s="2">
        <f t="shared" si="118"/>
        <v>0</v>
      </c>
      <c r="AT123" s="2">
        <f t="shared" si="118"/>
        <v>26880.560000000001</v>
      </c>
      <c r="AU123" s="2">
        <f t="shared" si="118"/>
        <v>519757.17</v>
      </c>
      <c r="AV123" s="2">
        <f t="shared" si="118"/>
        <v>546637.73</v>
      </c>
      <c r="AW123" s="2">
        <f t="shared" si="118"/>
        <v>546637.73</v>
      </c>
      <c r="AX123" s="2">
        <f t="shared" si="118"/>
        <v>0</v>
      </c>
      <c r="AY123" s="2">
        <f t="shared" si="118"/>
        <v>546637.73</v>
      </c>
      <c r="AZ123" s="2">
        <f t="shared" si="118"/>
        <v>0</v>
      </c>
      <c r="BA123" s="2">
        <f t="shared" si="118"/>
        <v>0</v>
      </c>
      <c r="BB123" s="2">
        <f t="shared" si="118"/>
        <v>0</v>
      </c>
      <c r="BC123" s="2">
        <f t="shared" si="118"/>
        <v>0</v>
      </c>
      <c r="BD123" s="2">
        <f t="shared" si="118"/>
        <v>0</v>
      </c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>
        <f>ROUND(SUMIF(AA117:AA121,"=23645517",FQ117:FQ121),2)</f>
        <v>0</v>
      </c>
      <c r="BY123" s="2">
        <f>ROUND(SUMIF(AA117:AA121,"=23645517",FR117:FR121),2)</f>
        <v>0</v>
      </c>
      <c r="BZ123" s="2">
        <f>ROUND(SUMIF(AA117:AA121,"=23645517",GL117:GL121),2)</f>
        <v>0</v>
      </c>
      <c r="CA123" s="2">
        <f>ROUND(SUMIF(AA117:AA121,"=23645517",GM117:GM121),2)</f>
        <v>546637.73</v>
      </c>
      <c r="CB123" s="2">
        <f>ROUND(SUMIF(AA117:AA121,"=23645517",GN117:GN121),2)</f>
        <v>0</v>
      </c>
      <c r="CC123" s="2">
        <f>ROUND(SUMIF(AA117:AA121,"=23645517",GO117:GO121),2)</f>
        <v>26880.560000000001</v>
      </c>
      <c r="CD123" s="2">
        <f>ROUND(SUMIF(AA117:AA121,"=23645517",GP117:GP121),2)</f>
        <v>519757.17</v>
      </c>
      <c r="CE123" s="2">
        <f>AC123-BX123</f>
        <v>546637.73</v>
      </c>
      <c r="CF123" s="2">
        <f>AC123-BY123</f>
        <v>546637.73</v>
      </c>
      <c r="CG123" s="2">
        <f>BX123-BZ123</f>
        <v>0</v>
      </c>
      <c r="CH123" s="2">
        <f>AC123-BX123-BY123+BZ123</f>
        <v>546637.73</v>
      </c>
      <c r="CI123" s="2">
        <f>BY123-BZ123</f>
        <v>0</v>
      </c>
      <c r="CJ123" s="2">
        <f>ROUND(SUMIF(AA117:AA121,"=23645517",GX117:GX121),2)</f>
        <v>0</v>
      </c>
      <c r="CK123" s="2">
        <f>ROUND(SUMIF(AA117:AA121,"=23645517",GY117:GY121),2)</f>
        <v>0</v>
      </c>
      <c r="CL123" s="2">
        <f>ROUND(SUMIF(AA117:AA121,"=23645517",GZ117:GZ121),2)</f>
        <v>0</v>
      </c>
      <c r="CM123" s="2">
        <f>ROUND(SUMIF(AA117:AA121,"=23645517",HD117:HD121),2)</f>
        <v>0</v>
      </c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>
        <v>0</v>
      </c>
    </row>
    <row r="125" spans="1:245" x14ac:dyDescent="0.2">
      <c r="A125" s="4">
        <v>50</v>
      </c>
      <c r="B125" s="4">
        <v>0</v>
      </c>
      <c r="C125" s="4">
        <v>0</v>
      </c>
      <c r="D125" s="4">
        <v>1</v>
      </c>
      <c r="E125" s="4">
        <v>201</v>
      </c>
      <c r="F125" s="4">
        <f>ROUND(Source!O123,O125)</f>
        <v>546637.73</v>
      </c>
      <c r="G125" s="4" t="s">
        <v>80</v>
      </c>
      <c r="H125" s="4" t="s">
        <v>81</v>
      </c>
      <c r="I125" s="4"/>
      <c r="J125" s="4"/>
      <c r="K125" s="4">
        <v>201</v>
      </c>
      <c r="L125" s="4">
        <v>1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45" x14ac:dyDescent="0.2">
      <c r="A126" s="4">
        <v>50</v>
      </c>
      <c r="B126" s="4">
        <v>0</v>
      </c>
      <c r="C126" s="4">
        <v>0</v>
      </c>
      <c r="D126" s="4">
        <v>1</v>
      </c>
      <c r="E126" s="4">
        <v>202</v>
      </c>
      <c r="F126" s="4">
        <f>ROUND(Source!P123,O126)</f>
        <v>546637.73</v>
      </c>
      <c r="G126" s="4" t="s">
        <v>82</v>
      </c>
      <c r="H126" s="4" t="s">
        <v>83</v>
      </c>
      <c r="I126" s="4"/>
      <c r="J126" s="4"/>
      <c r="K126" s="4">
        <v>202</v>
      </c>
      <c r="L126" s="4">
        <v>2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 x14ac:dyDescent="0.2">
      <c r="A127" s="4">
        <v>50</v>
      </c>
      <c r="B127" s="4">
        <v>0</v>
      </c>
      <c r="C127" s="4">
        <v>0</v>
      </c>
      <c r="D127" s="4">
        <v>1</v>
      </c>
      <c r="E127" s="4">
        <v>222</v>
      </c>
      <c r="F127" s="4">
        <f>ROUND(Source!AO123,O127)</f>
        <v>0</v>
      </c>
      <c r="G127" s="4" t="s">
        <v>84</v>
      </c>
      <c r="H127" s="4" t="s">
        <v>85</v>
      </c>
      <c r="I127" s="4"/>
      <c r="J127" s="4"/>
      <c r="K127" s="4">
        <v>222</v>
      </c>
      <c r="L127" s="4">
        <v>3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 x14ac:dyDescent="0.2">
      <c r="A128" s="4">
        <v>50</v>
      </c>
      <c r="B128" s="4">
        <v>0</v>
      </c>
      <c r="C128" s="4">
        <v>0</v>
      </c>
      <c r="D128" s="4">
        <v>1</v>
      </c>
      <c r="E128" s="4">
        <v>225</v>
      </c>
      <c r="F128" s="4">
        <f>ROUND(Source!AV123,O128)</f>
        <v>546637.73</v>
      </c>
      <c r="G128" s="4" t="s">
        <v>86</v>
      </c>
      <c r="H128" s="4" t="s">
        <v>87</v>
      </c>
      <c r="I128" s="4"/>
      <c r="J128" s="4"/>
      <c r="K128" s="4">
        <v>225</v>
      </c>
      <c r="L128" s="4">
        <v>4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226</v>
      </c>
      <c r="F129" s="4">
        <f>ROUND(Source!AW123,O129)</f>
        <v>546637.73</v>
      </c>
      <c r="G129" s="4" t="s">
        <v>88</v>
      </c>
      <c r="H129" s="4" t="s">
        <v>89</v>
      </c>
      <c r="I129" s="4"/>
      <c r="J129" s="4"/>
      <c r="K129" s="4">
        <v>226</v>
      </c>
      <c r="L129" s="4">
        <v>5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227</v>
      </c>
      <c r="F130" s="4">
        <f>ROUND(Source!AX123,O130)</f>
        <v>0</v>
      </c>
      <c r="G130" s="4" t="s">
        <v>90</v>
      </c>
      <c r="H130" s="4" t="s">
        <v>91</v>
      </c>
      <c r="I130" s="4"/>
      <c r="J130" s="4"/>
      <c r="K130" s="4">
        <v>227</v>
      </c>
      <c r="L130" s="4">
        <v>6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228</v>
      </c>
      <c r="F131" s="4">
        <f>ROUND(Source!AY123,O131)</f>
        <v>546637.73</v>
      </c>
      <c r="G131" s="4" t="s">
        <v>92</v>
      </c>
      <c r="H131" s="4" t="s">
        <v>93</v>
      </c>
      <c r="I131" s="4"/>
      <c r="J131" s="4"/>
      <c r="K131" s="4">
        <v>228</v>
      </c>
      <c r="L131" s="4">
        <v>7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216</v>
      </c>
      <c r="F132" s="4">
        <f>ROUND(Source!AP123,O132)</f>
        <v>0</v>
      </c>
      <c r="G132" s="4" t="s">
        <v>94</v>
      </c>
      <c r="H132" s="4" t="s">
        <v>95</v>
      </c>
      <c r="I132" s="4"/>
      <c r="J132" s="4"/>
      <c r="K132" s="4">
        <v>216</v>
      </c>
      <c r="L132" s="4">
        <v>8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223</v>
      </c>
      <c r="F133" s="4">
        <f>ROUND(Source!AQ123,O133)</f>
        <v>0</v>
      </c>
      <c r="G133" s="4" t="s">
        <v>96</v>
      </c>
      <c r="H133" s="4" t="s">
        <v>97</v>
      </c>
      <c r="I133" s="4"/>
      <c r="J133" s="4"/>
      <c r="K133" s="4">
        <v>223</v>
      </c>
      <c r="L133" s="4">
        <v>9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229</v>
      </c>
      <c r="F134" s="4">
        <f>ROUND(Source!AZ123,O134)</f>
        <v>0</v>
      </c>
      <c r="G134" s="4" t="s">
        <v>98</v>
      </c>
      <c r="H134" s="4" t="s">
        <v>99</v>
      </c>
      <c r="I134" s="4"/>
      <c r="J134" s="4"/>
      <c r="K134" s="4">
        <v>229</v>
      </c>
      <c r="L134" s="4">
        <v>10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203</v>
      </c>
      <c r="F135" s="4">
        <f>ROUND(Source!Q123,O135)</f>
        <v>0</v>
      </c>
      <c r="G135" s="4" t="s">
        <v>100</v>
      </c>
      <c r="H135" s="4" t="s">
        <v>101</v>
      </c>
      <c r="I135" s="4"/>
      <c r="J135" s="4"/>
      <c r="K135" s="4">
        <v>203</v>
      </c>
      <c r="L135" s="4">
        <v>11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231</v>
      </c>
      <c r="F136" s="4">
        <f>ROUND(Source!BB123,O136)</f>
        <v>0</v>
      </c>
      <c r="G136" s="4" t="s">
        <v>102</v>
      </c>
      <c r="H136" s="4" t="s">
        <v>103</v>
      </c>
      <c r="I136" s="4"/>
      <c r="J136" s="4"/>
      <c r="K136" s="4">
        <v>231</v>
      </c>
      <c r="L136" s="4">
        <v>12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204</v>
      </c>
      <c r="F137" s="4">
        <f>ROUND(Source!R123,O137)</f>
        <v>0</v>
      </c>
      <c r="G137" s="4" t="s">
        <v>104</v>
      </c>
      <c r="H137" s="4" t="s">
        <v>105</v>
      </c>
      <c r="I137" s="4"/>
      <c r="J137" s="4"/>
      <c r="K137" s="4">
        <v>204</v>
      </c>
      <c r="L137" s="4">
        <v>13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205</v>
      </c>
      <c r="F138" s="4">
        <f>ROUND(Source!S123,O138)</f>
        <v>0</v>
      </c>
      <c r="G138" s="4" t="s">
        <v>106</v>
      </c>
      <c r="H138" s="4" t="s">
        <v>107</v>
      </c>
      <c r="I138" s="4"/>
      <c r="J138" s="4"/>
      <c r="K138" s="4">
        <v>205</v>
      </c>
      <c r="L138" s="4">
        <v>14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232</v>
      </c>
      <c r="F139" s="4">
        <f>ROUND(Source!BC123,O139)</f>
        <v>0</v>
      </c>
      <c r="G139" s="4" t="s">
        <v>108</v>
      </c>
      <c r="H139" s="4" t="s">
        <v>109</v>
      </c>
      <c r="I139" s="4"/>
      <c r="J139" s="4"/>
      <c r="K139" s="4">
        <v>232</v>
      </c>
      <c r="L139" s="4">
        <v>15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214</v>
      </c>
      <c r="F140" s="4">
        <f>ROUND(Source!AS123,O140)</f>
        <v>0</v>
      </c>
      <c r="G140" s="4" t="s">
        <v>110</v>
      </c>
      <c r="H140" s="4" t="s">
        <v>111</v>
      </c>
      <c r="I140" s="4"/>
      <c r="J140" s="4"/>
      <c r="K140" s="4">
        <v>214</v>
      </c>
      <c r="L140" s="4">
        <v>16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215</v>
      </c>
      <c r="F141" s="4">
        <f>ROUND(Source!AT123,O141)</f>
        <v>26880.560000000001</v>
      </c>
      <c r="G141" s="4" t="s">
        <v>112</v>
      </c>
      <c r="H141" s="4" t="s">
        <v>113</v>
      </c>
      <c r="I141" s="4"/>
      <c r="J141" s="4"/>
      <c r="K141" s="4">
        <v>215</v>
      </c>
      <c r="L141" s="4">
        <v>17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217</v>
      </c>
      <c r="F142" s="4">
        <f>ROUND(Source!AU123,O142)</f>
        <v>519757.17</v>
      </c>
      <c r="G142" s="4" t="s">
        <v>114</v>
      </c>
      <c r="H142" s="4" t="s">
        <v>115</v>
      </c>
      <c r="I142" s="4"/>
      <c r="J142" s="4"/>
      <c r="K142" s="4">
        <v>217</v>
      </c>
      <c r="L142" s="4">
        <v>18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230</v>
      </c>
      <c r="F143" s="4">
        <f>ROUND(Source!BA123,O143)</f>
        <v>0</v>
      </c>
      <c r="G143" s="4" t="s">
        <v>116</v>
      </c>
      <c r="H143" s="4" t="s">
        <v>117</v>
      </c>
      <c r="I143" s="4"/>
      <c r="J143" s="4"/>
      <c r="K143" s="4">
        <v>230</v>
      </c>
      <c r="L143" s="4">
        <v>19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206</v>
      </c>
      <c r="F144" s="4">
        <f>ROUND(Source!T123,O144)</f>
        <v>0</v>
      </c>
      <c r="G144" s="4" t="s">
        <v>118</v>
      </c>
      <c r="H144" s="4" t="s">
        <v>119</v>
      </c>
      <c r="I144" s="4"/>
      <c r="J144" s="4"/>
      <c r="K144" s="4">
        <v>206</v>
      </c>
      <c r="L144" s="4">
        <v>20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207</v>
      </c>
      <c r="F145" s="4">
        <f>Source!U123</f>
        <v>0</v>
      </c>
      <c r="G145" s="4" t="s">
        <v>120</v>
      </c>
      <c r="H145" s="4" t="s">
        <v>121</v>
      </c>
      <c r="I145" s="4"/>
      <c r="J145" s="4"/>
      <c r="K145" s="4">
        <v>207</v>
      </c>
      <c r="L145" s="4">
        <v>21</v>
      </c>
      <c r="M145" s="4">
        <v>3</v>
      </c>
      <c r="N145" s="4" t="s">
        <v>3</v>
      </c>
      <c r="O145" s="4">
        <v>-1</v>
      </c>
      <c r="P145" s="4"/>
      <c r="Q145" s="4"/>
      <c r="R145" s="4"/>
      <c r="S145" s="4"/>
      <c r="T145" s="4"/>
      <c r="U145" s="4"/>
      <c r="V145" s="4"/>
      <c r="W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208</v>
      </c>
      <c r="F146" s="4">
        <f>Source!V123</f>
        <v>0</v>
      </c>
      <c r="G146" s="4" t="s">
        <v>122</v>
      </c>
      <c r="H146" s="4" t="s">
        <v>123</v>
      </c>
      <c r="I146" s="4"/>
      <c r="J146" s="4"/>
      <c r="K146" s="4">
        <v>208</v>
      </c>
      <c r="L146" s="4">
        <v>22</v>
      </c>
      <c r="M146" s="4">
        <v>3</v>
      </c>
      <c r="N146" s="4" t="s">
        <v>3</v>
      </c>
      <c r="O146" s="4">
        <v>-1</v>
      </c>
      <c r="P146" s="4"/>
      <c r="Q146" s="4"/>
      <c r="R146" s="4"/>
      <c r="S146" s="4"/>
      <c r="T146" s="4"/>
      <c r="U146" s="4"/>
      <c r="V146" s="4"/>
      <c r="W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209</v>
      </c>
      <c r="F147" s="4">
        <f>ROUND(Source!W123,O147)</f>
        <v>0</v>
      </c>
      <c r="G147" s="4" t="s">
        <v>124</v>
      </c>
      <c r="H147" s="4" t="s">
        <v>125</v>
      </c>
      <c r="I147" s="4"/>
      <c r="J147" s="4"/>
      <c r="K147" s="4">
        <v>209</v>
      </c>
      <c r="L147" s="4">
        <v>23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06" x14ac:dyDescent="0.2">
      <c r="A148" s="4">
        <v>50</v>
      </c>
      <c r="B148" s="4">
        <v>0</v>
      </c>
      <c r="C148" s="4">
        <v>0</v>
      </c>
      <c r="D148" s="4">
        <v>1</v>
      </c>
      <c r="E148" s="4">
        <v>233</v>
      </c>
      <c r="F148" s="4">
        <f>ROUND(Source!BD123,O148)</f>
        <v>0</v>
      </c>
      <c r="G148" s="4" t="s">
        <v>126</v>
      </c>
      <c r="H148" s="4" t="s">
        <v>127</v>
      </c>
      <c r="I148" s="4"/>
      <c r="J148" s="4"/>
      <c r="K148" s="4">
        <v>233</v>
      </c>
      <c r="L148" s="4">
        <v>24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 x14ac:dyDescent="0.2">
      <c r="A149" s="4">
        <v>50</v>
      </c>
      <c r="B149" s="4">
        <v>0</v>
      </c>
      <c r="C149" s="4">
        <v>0</v>
      </c>
      <c r="D149" s="4">
        <v>1</v>
      </c>
      <c r="E149" s="4">
        <v>210</v>
      </c>
      <c r="F149" s="4">
        <f>ROUND(Source!X123,O149)</f>
        <v>0</v>
      </c>
      <c r="G149" s="4" t="s">
        <v>128</v>
      </c>
      <c r="H149" s="4" t="s">
        <v>129</v>
      </c>
      <c r="I149" s="4"/>
      <c r="J149" s="4"/>
      <c r="K149" s="4">
        <v>210</v>
      </c>
      <c r="L149" s="4">
        <v>25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 x14ac:dyDescent="0.2">
      <c r="A150" s="4">
        <v>50</v>
      </c>
      <c r="B150" s="4">
        <v>0</v>
      </c>
      <c r="C150" s="4">
        <v>0</v>
      </c>
      <c r="D150" s="4">
        <v>1</v>
      </c>
      <c r="E150" s="4">
        <v>211</v>
      </c>
      <c r="F150" s="4">
        <f>ROUND(Source!Y123,O150)</f>
        <v>0</v>
      </c>
      <c r="G150" s="4" t="s">
        <v>130</v>
      </c>
      <c r="H150" s="4" t="s">
        <v>131</v>
      </c>
      <c r="I150" s="4"/>
      <c r="J150" s="4"/>
      <c r="K150" s="4">
        <v>211</v>
      </c>
      <c r="L150" s="4">
        <v>26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06" x14ac:dyDescent="0.2">
      <c r="A151" s="4">
        <v>50</v>
      </c>
      <c r="B151" s="4">
        <v>0</v>
      </c>
      <c r="C151" s="4">
        <v>0</v>
      </c>
      <c r="D151" s="4">
        <v>1</v>
      </c>
      <c r="E151" s="4">
        <v>224</v>
      </c>
      <c r="F151" s="4">
        <f>ROUND(Source!AR123,O151)</f>
        <v>546637.73</v>
      </c>
      <c r="G151" s="4" t="s">
        <v>132</v>
      </c>
      <c r="H151" s="4" t="s">
        <v>133</v>
      </c>
      <c r="I151" s="4"/>
      <c r="J151" s="4"/>
      <c r="K151" s="4">
        <v>224</v>
      </c>
      <c r="L151" s="4">
        <v>27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3" spans="1:206" x14ac:dyDescent="0.2">
      <c r="A153" s="2">
        <v>51</v>
      </c>
      <c r="B153" s="2">
        <f>B20</f>
        <v>1</v>
      </c>
      <c r="C153" s="2">
        <f>A20</f>
        <v>3</v>
      </c>
      <c r="D153" s="2">
        <f>ROW(A20)</f>
        <v>20</v>
      </c>
      <c r="E153" s="2"/>
      <c r="F153" s="2" t="str">
        <f>IF(F20&lt;&gt;"",F20,"")</f>
        <v>Новая локальная смета</v>
      </c>
      <c r="G153" s="2" t="str">
        <f>IF(G20&lt;&gt;"",G20,"")</f>
        <v>Реконструкция. Замена 3 панелей РУ-0,4 кВ.</v>
      </c>
      <c r="H153" s="2">
        <v>0</v>
      </c>
      <c r="I153" s="2"/>
      <c r="J153" s="2"/>
      <c r="K153" s="2"/>
      <c r="L153" s="2"/>
      <c r="M153" s="2"/>
      <c r="N153" s="2"/>
      <c r="O153" s="2">
        <f t="shared" ref="O153:T153" si="119">ROUND(O39+O83+O123+AB153,2)</f>
        <v>638187.67000000004</v>
      </c>
      <c r="P153" s="2">
        <f t="shared" si="119"/>
        <v>554400.54</v>
      </c>
      <c r="Q153" s="2">
        <f t="shared" si="119"/>
        <v>9210.1</v>
      </c>
      <c r="R153" s="2">
        <f t="shared" si="119"/>
        <v>4767.54</v>
      </c>
      <c r="S153" s="2">
        <f t="shared" si="119"/>
        <v>74577.03</v>
      </c>
      <c r="T153" s="2">
        <f t="shared" si="119"/>
        <v>0</v>
      </c>
      <c r="U153" s="2">
        <f>U39+U83+U123+AH153</f>
        <v>212.86999676000002</v>
      </c>
      <c r="V153" s="2">
        <f>V39+V83+V123+AI153</f>
        <v>0</v>
      </c>
      <c r="W153" s="2">
        <f>ROUND(W39+W83+W123+AJ153,2)</f>
        <v>0</v>
      </c>
      <c r="X153" s="2">
        <f>ROUND(X39+X83+X123+AK153,2)</f>
        <v>53803.19</v>
      </c>
      <c r="Y153" s="2">
        <f>ROUND(Y39+Y83+Y123+AL153,2)</f>
        <v>30576.6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>
        <f t="shared" ref="AO153:BD153" si="120">ROUND(AO39+AO83+AO123+BX153,2)</f>
        <v>0</v>
      </c>
      <c r="AP153" s="2">
        <f t="shared" si="120"/>
        <v>0</v>
      </c>
      <c r="AQ153" s="2">
        <f t="shared" si="120"/>
        <v>0</v>
      </c>
      <c r="AR153" s="2">
        <f t="shared" si="120"/>
        <v>730052.5</v>
      </c>
      <c r="AS153" s="2">
        <f t="shared" si="120"/>
        <v>0</v>
      </c>
      <c r="AT153" s="2">
        <f t="shared" si="120"/>
        <v>126204.68</v>
      </c>
      <c r="AU153" s="2">
        <f t="shared" si="120"/>
        <v>603847.81999999995</v>
      </c>
      <c r="AV153" s="2">
        <f t="shared" si="120"/>
        <v>554400.54</v>
      </c>
      <c r="AW153" s="2">
        <f t="shared" si="120"/>
        <v>554400.54</v>
      </c>
      <c r="AX153" s="2">
        <f t="shared" si="120"/>
        <v>0</v>
      </c>
      <c r="AY153" s="2">
        <f t="shared" si="120"/>
        <v>554400.54</v>
      </c>
      <c r="AZ153" s="2">
        <f t="shared" si="120"/>
        <v>0</v>
      </c>
      <c r="BA153" s="2">
        <f t="shared" si="120"/>
        <v>0</v>
      </c>
      <c r="BB153" s="2">
        <f t="shared" si="120"/>
        <v>0</v>
      </c>
      <c r="BC153" s="2">
        <f t="shared" si="120"/>
        <v>0</v>
      </c>
      <c r="BD153" s="2">
        <f t="shared" si="120"/>
        <v>0</v>
      </c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>
        <v>0</v>
      </c>
    </row>
    <row r="155" spans="1:206" x14ac:dyDescent="0.2">
      <c r="A155" s="4">
        <v>50</v>
      </c>
      <c r="B155" s="4">
        <v>0</v>
      </c>
      <c r="C155" s="4">
        <v>0</v>
      </c>
      <c r="D155" s="4">
        <v>1</v>
      </c>
      <c r="E155" s="4">
        <v>201</v>
      </c>
      <c r="F155" s="4">
        <f>ROUND(Source!O153,O155)</f>
        <v>638187.67000000004</v>
      </c>
      <c r="G155" s="4" t="s">
        <v>80</v>
      </c>
      <c r="H155" s="4" t="s">
        <v>81</v>
      </c>
      <c r="I155" s="4"/>
      <c r="J155" s="4"/>
      <c r="K155" s="4">
        <v>201</v>
      </c>
      <c r="L155" s="4">
        <v>1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06" x14ac:dyDescent="0.2">
      <c r="A156" s="4">
        <v>50</v>
      </c>
      <c r="B156" s="4">
        <v>0</v>
      </c>
      <c r="C156" s="4">
        <v>0</v>
      </c>
      <c r="D156" s="4">
        <v>1</v>
      </c>
      <c r="E156" s="4">
        <v>202</v>
      </c>
      <c r="F156" s="4">
        <f>ROUND(Source!P153,O156)</f>
        <v>554400.54</v>
      </c>
      <c r="G156" s="4" t="s">
        <v>82</v>
      </c>
      <c r="H156" s="4" t="s">
        <v>83</v>
      </c>
      <c r="I156" s="4"/>
      <c r="J156" s="4"/>
      <c r="K156" s="4">
        <v>202</v>
      </c>
      <c r="L156" s="4">
        <v>2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06" x14ac:dyDescent="0.2">
      <c r="A157" s="4">
        <v>50</v>
      </c>
      <c r="B157" s="4">
        <v>0</v>
      </c>
      <c r="C157" s="4">
        <v>0</v>
      </c>
      <c r="D157" s="4">
        <v>1</v>
      </c>
      <c r="E157" s="4">
        <v>222</v>
      </c>
      <c r="F157" s="4">
        <f>ROUND(Source!AO153,O157)</f>
        <v>0</v>
      </c>
      <c r="G157" s="4" t="s">
        <v>84</v>
      </c>
      <c r="H157" s="4" t="s">
        <v>85</v>
      </c>
      <c r="I157" s="4"/>
      <c r="J157" s="4"/>
      <c r="K157" s="4">
        <v>222</v>
      </c>
      <c r="L157" s="4">
        <v>3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06" x14ac:dyDescent="0.2">
      <c r="A158" s="4">
        <v>50</v>
      </c>
      <c r="B158" s="4">
        <v>0</v>
      </c>
      <c r="C158" s="4">
        <v>0</v>
      </c>
      <c r="D158" s="4">
        <v>1</v>
      </c>
      <c r="E158" s="4">
        <v>225</v>
      </c>
      <c r="F158" s="4">
        <f>ROUND(Source!AV153,O158)</f>
        <v>554400.54</v>
      </c>
      <c r="G158" s="4" t="s">
        <v>86</v>
      </c>
      <c r="H158" s="4" t="s">
        <v>87</v>
      </c>
      <c r="I158" s="4"/>
      <c r="J158" s="4"/>
      <c r="K158" s="4">
        <v>225</v>
      </c>
      <c r="L158" s="4">
        <v>4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06" x14ac:dyDescent="0.2">
      <c r="A159" s="4">
        <v>50</v>
      </c>
      <c r="B159" s="4">
        <v>0</v>
      </c>
      <c r="C159" s="4">
        <v>0</v>
      </c>
      <c r="D159" s="4">
        <v>1</v>
      </c>
      <c r="E159" s="4">
        <v>226</v>
      </c>
      <c r="F159" s="4">
        <f>ROUND(Source!AW153,O159)</f>
        <v>554400.54</v>
      </c>
      <c r="G159" s="4" t="s">
        <v>88</v>
      </c>
      <c r="H159" s="4" t="s">
        <v>89</v>
      </c>
      <c r="I159" s="4"/>
      <c r="J159" s="4"/>
      <c r="K159" s="4">
        <v>226</v>
      </c>
      <c r="L159" s="4">
        <v>5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06" x14ac:dyDescent="0.2">
      <c r="A160" s="4">
        <v>50</v>
      </c>
      <c r="B160" s="4">
        <v>0</v>
      </c>
      <c r="C160" s="4">
        <v>0</v>
      </c>
      <c r="D160" s="4">
        <v>1</v>
      </c>
      <c r="E160" s="4">
        <v>227</v>
      </c>
      <c r="F160" s="4">
        <f>ROUND(Source!AX153,O160)</f>
        <v>0</v>
      </c>
      <c r="G160" s="4" t="s">
        <v>90</v>
      </c>
      <c r="H160" s="4" t="s">
        <v>91</v>
      </c>
      <c r="I160" s="4"/>
      <c r="J160" s="4"/>
      <c r="K160" s="4">
        <v>227</v>
      </c>
      <c r="L160" s="4">
        <v>6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228</v>
      </c>
      <c r="F161" s="4">
        <f>ROUND(Source!AY153,O161)</f>
        <v>554400.54</v>
      </c>
      <c r="G161" s="4" t="s">
        <v>92</v>
      </c>
      <c r="H161" s="4" t="s">
        <v>93</v>
      </c>
      <c r="I161" s="4"/>
      <c r="J161" s="4"/>
      <c r="K161" s="4">
        <v>228</v>
      </c>
      <c r="L161" s="4">
        <v>7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216</v>
      </c>
      <c r="F162" s="4">
        <f>ROUND(Source!AP153,O162)</f>
        <v>0</v>
      </c>
      <c r="G162" s="4" t="s">
        <v>94</v>
      </c>
      <c r="H162" s="4" t="s">
        <v>95</v>
      </c>
      <c r="I162" s="4"/>
      <c r="J162" s="4"/>
      <c r="K162" s="4">
        <v>216</v>
      </c>
      <c r="L162" s="4">
        <v>8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223</v>
      </c>
      <c r="F163" s="4">
        <f>ROUND(Source!AQ153,O163)</f>
        <v>0</v>
      </c>
      <c r="G163" s="4" t="s">
        <v>96</v>
      </c>
      <c r="H163" s="4" t="s">
        <v>97</v>
      </c>
      <c r="I163" s="4"/>
      <c r="J163" s="4"/>
      <c r="K163" s="4">
        <v>223</v>
      </c>
      <c r="L163" s="4">
        <v>9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229</v>
      </c>
      <c r="F164" s="4">
        <f>ROUND(Source!AZ153,O164)</f>
        <v>0</v>
      </c>
      <c r="G164" s="4" t="s">
        <v>98</v>
      </c>
      <c r="H164" s="4" t="s">
        <v>99</v>
      </c>
      <c r="I164" s="4"/>
      <c r="J164" s="4"/>
      <c r="K164" s="4">
        <v>229</v>
      </c>
      <c r="L164" s="4">
        <v>10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203</v>
      </c>
      <c r="F165" s="4">
        <f>ROUND(Source!Q153,O165)</f>
        <v>9210.1</v>
      </c>
      <c r="G165" s="4" t="s">
        <v>100</v>
      </c>
      <c r="H165" s="4" t="s">
        <v>101</v>
      </c>
      <c r="I165" s="4"/>
      <c r="J165" s="4"/>
      <c r="K165" s="4">
        <v>203</v>
      </c>
      <c r="L165" s="4">
        <v>11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231</v>
      </c>
      <c r="F166" s="4">
        <f>ROUND(Source!BB153,O166)</f>
        <v>0</v>
      </c>
      <c r="G166" s="4" t="s">
        <v>102</v>
      </c>
      <c r="H166" s="4" t="s">
        <v>103</v>
      </c>
      <c r="I166" s="4"/>
      <c r="J166" s="4"/>
      <c r="K166" s="4">
        <v>231</v>
      </c>
      <c r="L166" s="4">
        <v>12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204</v>
      </c>
      <c r="F167" s="4">
        <f>ROUND(Source!R153,O167)</f>
        <v>4767.54</v>
      </c>
      <c r="G167" s="4" t="s">
        <v>104</v>
      </c>
      <c r="H167" s="4" t="s">
        <v>105</v>
      </c>
      <c r="I167" s="4"/>
      <c r="J167" s="4"/>
      <c r="K167" s="4">
        <v>204</v>
      </c>
      <c r="L167" s="4">
        <v>13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205</v>
      </c>
      <c r="F168" s="4">
        <f>ROUND(Source!S153,O168)</f>
        <v>74577.03</v>
      </c>
      <c r="G168" s="4" t="s">
        <v>106</v>
      </c>
      <c r="H168" s="4" t="s">
        <v>107</v>
      </c>
      <c r="I168" s="4"/>
      <c r="J168" s="4"/>
      <c r="K168" s="4">
        <v>205</v>
      </c>
      <c r="L168" s="4">
        <v>14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232</v>
      </c>
      <c r="F169" s="4">
        <f>ROUND(Source!BC153,O169)</f>
        <v>0</v>
      </c>
      <c r="G169" s="4" t="s">
        <v>108</v>
      </c>
      <c r="H169" s="4" t="s">
        <v>109</v>
      </c>
      <c r="I169" s="4"/>
      <c r="J169" s="4"/>
      <c r="K169" s="4">
        <v>232</v>
      </c>
      <c r="L169" s="4">
        <v>15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214</v>
      </c>
      <c r="F170" s="4">
        <f>ROUND(Source!AS153,O170)</f>
        <v>0</v>
      </c>
      <c r="G170" s="4" t="s">
        <v>110</v>
      </c>
      <c r="H170" s="4" t="s">
        <v>111</v>
      </c>
      <c r="I170" s="4"/>
      <c r="J170" s="4"/>
      <c r="K170" s="4">
        <v>214</v>
      </c>
      <c r="L170" s="4">
        <v>16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215</v>
      </c>
      <c r="F171" s="4">
        <f>ROUND(Source!AT153,O171)</f>
        <v>126204.68</v>
      </c>
      <c r="G171" s="4" t="s">
        <v>112</v>
      </c>
      <c r="H171" s="4" t="s">
        <v>113</v>
      </c>
      <c r="I171" s="4"/>
      <c r="J171" s="4"/>
      <c r="K171" s="4">
        <v>215</v>
      </c>
      <c r="L171" s="4">
        <v>17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217</v>
      </c>
      <c r="F172" s="4">
        <f>ROUND(Source!AU153,O172)</f>
        <v>603847.81999999995</v>
      </c>
      <c r="G172" s="4" t="s">
        <v>114</v>
      </c>
      <c r="H172" s="4" t="s">
        <v>115</v>
      </c>
      <c r="I172" s="4"/>
      <c r="J172" s="4"/>
      <c r="K172" s="4">
        <v>217</v>
      </c>
      <c r="L172" s="4">
        <v>18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230</v>
      </c>
      <c r="F173" s="4">
        <f>ROUND(Source!BA153,O173)</f>
        <v>0</v>
      </c>
      <c r="G173" s="4" t="s">
        <v>116</v>
      </c>
      <c r="H173" s="4" t="s">
        <v>117</v>
      </c>
      <c r="I173" s="4"/>
      <c r="J173" s="4"/>
      <c r="K173" s="4">
        <v>230</v>
      </c>
      <c r="L173" s="4">
        <v>19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206</v>
      </c>
      <c r="F174" s="4">
        <f>ROUND(Source!T153,O174)</f>
        <v>0</v>
      </c>
      <c r="G174" s="4" t="s">
        <v>118</v>
      </c>
      <c r="H174" s="4" t="s">
        <v>119</v>
      </c>
      <c r="I174" s="4"/>
      <c r="J174" s="4"/>
      <c r="K174" s="4">
        <v>206</v>
      </c>
      <c r="L174" s="4">
        <v>20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207</v>
      </c>
      <c r="F175" s="4">
        <f>Source!U153</f>
        <v>212.86999676000002</v>
      </c>
      <c r="G175" s="4" t="s">
        <v>120</v>
      </c>
      <c r="H175" s="4" t="s">
        <v>121</v>
      </c>
      <c r="I175" s="4"/>
      <c r="J175" s="4"/>
      <c r="K175" s="4">
        <v>207</v>
      </c>
      <c r="L175" s="4">
        <v>21</v>
      </c>
      <c r="M175" s="4">
        <v>3</v>
      </c>
      <c r="N175" s="4" t="s">
        <v>3</v>
      </c>
      <c r="O175" s="4">
        <v>-1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208</v>
      </c>
      <c r="F176" s="4">
        <f>Source!V153</f>
        <v>0</v>
      </c>
      <c r="G176" s="4" t="s">
        <v>122</v>
      </c>
      <c r="H176" s="4" t="s">
        <v>123</v>
      </c>
      <c r="I176" s="4"/>
      <c r="J176" s="4"/>
      <c r="K176" s="4">
        <v>208</v>
      </c>
      <c r="L176" s="4">
        <v>22</v>
      </c>
      <c r="M176" s="4">
        <v>3</v>
      </c>
      <c r="N176" s="4" t="s">
        <v>3</v>
      </c>
      <c r="O176" s="4">
        <v>-1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209</v>
      </c>
      <c r="F177" s="4">
        <f>ROUND(Source!W153,O177)</f>
        <v>0</v>
      </c>
      <c r="G177" s="4" t="s">
        <v>124</v>
      </c>
      <c r="H177" s="4" t="s">
        <v>125</v>
      </c>
      <c r="I177" s="4"/>
      <c r="J177" s="4"/>
      <c r="K177" s="4">
        <v>209</v>
      </c>
      <c r="L177" s="4">
        <v>23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233</v>
      </c>
      <c r="F178" s="4">
        <f>ROUND(Source!BD153,O178)</f>
        <v>0</v>
      </c>
      <c r="G178" s="4" t="s">
        <v>126</v>
      </c>
      <c r="H178" s="4" t="s">
        <v>127</v>
      </c>
      <c r="I178" s="4"/>
      <c r="J178" s="4"/>
      <c r="K178" s="4">
        <v>233</v>
      </c>
      <c r="L178" s="4">
        <v>24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210</v>
      </c>
      <c r="F179" s="4">
        <f>ROUND(Source!X153,O179)</f>
        <v>53803.19</v>
      </c>
      <c r="G179" s="4" t="s">
        <v>128</v>
      </c>
      <c r="H179" s="4" t="s">
        <v>129</v>
      </c>
      <c r="I179" s="4"/>
      <c r="J179" s="4"/>
      <c r="K179" s="4">
        <v>210</v>
      </c>
      <c r="L179" s="4">
        <v>25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211</v>
      </c>
      <c r="F180" s="4">
        <f>ROUND(Source!Y153,O180)</f>
        <v>30576.6</v>
      </c>
      <c r="G180" s="4" t="s">
        <v>130</v>
      </c>
      <c r="H180" s="4" t="s">
        <v>131</v>
      </c>
      <c r="I180" s="4"/>
      <c r="J180" s="4"/>
      <c r="K180" s="4">
        <v>211</v>
      </c>
      <c r="L180" s="4">
        <v>26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224</v>
      </c>
      <c r="F181" s="4">
        <f>ROUND(Source!AR153,O181)</f>
        <v>730052.5</v>
      </c>
      <c r="G181" s="4" t="s">
        <v>132</v>
      </c>
      <c r="H181" s="4" t="s">
        <v>133</v>
      </c>
      <c r="I181" s="4"/>
      <c r="J181" s="4"/>
      <c r="K181" s="4">
        <v>224</v>
      </c>
      <c r="L181" s="4">
        <v>27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3" spans="1:206" x14ac:dyDescent="0.2">
      <c r="A183" s="2">
        <v>51</v>
      </c>
      <c r="B183" s="2">
        <f>B12</f>
        <v>219</v>
      </c>
      <c r="C183" s="2">
        <f>A12</f>
        <v>1</v>
      </c>
      <c r="D183" s="2">
        <f>ROW(A12)</f>
        <v>12</v>
      </c>
      <c r="E183" s="2"/>
      <c r="F183" s="2" t="str">
        <f>IF(F12&lt;&gt;"",F12,"")</f>
        <v>ТП-533. Реконструкция. Замена 3 панелей РУ-0,4 кВ.</v>
      </c>
      <c r="G183" s="2" t="str">
        <f>IF(G12&lt;&gt;"",G12,"")</f>
        <v>ТП-533. Реконструкция. Замена 3 панелей РУ-0,4 кВ.</v>
      </c>
      <c r="H183" s="2">
        <v>0</v>
      </c>
      <c r="I183" s="2"/>
      <c r="J183" s="2"/>
      <c r="K183" s="2"/>
      <c r="L183" s="2"/>
      <c r="M183" s="2"/>
      <c r="N183" s="2"/>
      <c r="O183" s="2">
        <f t="shared" ref="O183:T183" si="121">ROUND(O153,2)</f>
        <v>638187.67000000004</v>
      </c>
      <c r="P183" s="2">
        <f t="shared" si="121"/>
        <v>554400.54</v>
      </c>
      <c r="Q183" s="2">
        <f t="shared" si="121"/>
        <v>9210.1</v>
      </c>
      <c r="R183" s="2">
        <f t="shared" si="121"/>
        <v>4767.54</v>
      </c>
      <c r="S183" s="2">
        <f t="shared" si="121"/>
        <v>74577.03</v>
      </c>
      <c r="T183" s="2">
        <f t="shared" si="121"/>
        <v>0</v>
      </c>
      <c r="U183" s="2">
        <f>U153</f>
        <v>212.86999676000002</v>
      </c>
      <c r="V183" s="2">
        <f>V153</f>
        <v>0</v>
      </c>
      <c r="W183" s="2">
        <f>ROUND(W153,2)</f>
        <v>0</v>
      </c>
      <c r="X183" s="2">
        <f>ROUND(X153,2)</f>
        <v>53803.19</v>
      </c>
      <c r="Y183" s="2">
        <f>ROUND(Y153,2)</f>
        <v>30576.6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>
        <f t="shared" ref="AO183:BD183" si="122">ROUND(AO153,2)</f>
        <v>0</v>
      </c>
      <c r="AP183" s="2">
        <f t="shared" si="122"/>
        <v>0</v>
      </c>
      <c r="AQ183" s="2">
        <f t="shared" si="122"/>
        <v>0</v>
      </c>
      <c r="AR183" s="2">
        <f t="shared" si="122"/>
        <v>730052.5</v>
      </c>
      <c r="AS183" s="2">
        <f t="shared" si="122"/>
        <v>0</v>
      </c>
      <c r="AT183" s="2">
        <f t="shared" si="122"/>
        <v>126204.68</v>
      </c>
      <c r="AU183" s="2">
        <f t="shared" si="122"/>
        <v>603847.81999999995</v>
      </c>
      <c r="AV183" s="2">
        <f t="shared" si="122"/>
        <v>554400.54</v>
      </c>
      <c r="AW183" s="2">
        <f t="shared" si="122"/>
        <v>554400.54</v>
      </c>
      <c r="AX183" s="2">
        <f t="shared" si="122"/>
        <v>0</v>
      </c>
      <c r="AY183" s="2">
        <f t="shared" si="122"/>
        <v>554400.54</v>
      </c>
      <c r="AZ183" s="2">
        <f t="shared" si="122"/>
        <v>0</v>
      </c>
      <c r="BA183" s="2">
        <f t="shared" si="122"/>
        <v>0</v>
      </c>
      <c r="BB183" s="2">
        <f t="shared" si="122"/>
        <v>0</v>
      </c>
      <c r="BC183" s="2">
        <f t="shared" si="122"/>
        <v>0</v>
      </c>
      <c r="BD183" s="2">
        <f t="shared" si="122"/>
        <v>0</v>
      </c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>
        <v>0</v>
      </c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201</v>
      </c>
      <c r="F185" s="4">
        <f>ROUND(Source!O183,O185)</f>
        <v>638187.67000000004</v>
      </c>
      <c r="G185" s="4" t="s">
        <v>80</v>
      </c>
      <c r="H185" s="4" t="s">
        <v>81</v>
      </c>
      <c r="I185" s="4"/>
      <c r="J185" s="4"/>
      <c r="K185" s="4">
        <v>201</v>
      </c>
      <c r="L185" s="4">
        <v>1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202</v>
      </c>
      <c r="F186" s="4">
        <f>ROUND(Source!P183,O186)</f>
        <v>554400.54</v>
      </c>
      <c r="G186" s="4" t="s">
        <v>82</v>
      </c>
      <c r="H186" s="4" t="s">
        <v>83</v>
      </c>
      <c r="I186" s="4"/>
      <c r="J186" s="4"/>
      <c r="K186" s="4">
        <v>202</v>
      </c>
      <c r="L186" s="4">
        <v>2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06" x14ac:dyDescent="0.2">
      <c r="A187" s="4">
        <v>50</v>
      </c>
      <c r="B187" s="4">
        <v>0</v>
      </c>
      <c r="C187" s="4">
        <v>0</v>
      </c>
      <c r="D187" s="4">
        <v>1</v>
      </c>
      <c r="E187" s="4">
        <v>222</v>
      </c>
      <c r="F187" s="4">
        <f>ROUND(Source!AO183,O187)</f>
        <v>0</v>
      </c>
      <c r="G187" s="4" t="s">
        <v>84</v>
      </c>
      <c r="H187" s="4" t="s">
        <v>85</v>
      </c>
      <c r="I187" s="4"/>
      <c r="J187" s="4"/>
      <c r="K187" s="4">
        <v>222</v>
      </c>
      <c r="L187" s="4">
        <v>3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06" x14ac:dyDescent="0.2">
      <c r="A188" s="4">
        <v>50</v>
      </c>
      <c r="B188" s="4">
        <v>0</v>
      </c>
      <c r="C188" s="4">
        <v>0</v>
      </c>
      <c r="D188" s="4">
        <v>1</v>
      </c>
      <c r="E188" s="4">
        <v>225</v>
      </c>
      <c r="F188" s="4">
        <f>ROUND(Source!AV183,O188)</f>
        <v>554400.54</v>
      </c>
      <c r="G188" s="4" t="s">
        <v>86</v>
      </c>
      <c r="H188" s="4" t="s">
        <v>87</v>
      </c>
      <c r="I188" s="4"/>
      <c r="J188" s="4"/>
      <c r="K188" s="4">
        <v>225</v>
      </c>
      <c r="L188" s="4">
        <v>4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06" x14ac:dyDescent="0.2">
      <c r="A189" s="4">
        <v>50</v>
      </c>
      <c r="B189" s="4">
        <v>0</v>
      </c>
      <c r="C189" s="4">
        <v>0</v>
      </c>
      <c r="D189" s="4">
        <v>1</v>
      </c>
      <c r="E189" s="4">
        <v>226</v>
      </c>
      <c r="F189" s="4">
        <f>ROUND(Source!AW183,O189)</f>
        <v>554400.54</v>
      </c>
      <c r="G189" s="4" t="s">
        <v>88</v>
      </c>
      <c r="H189" s="4" t="s">
        <v>89</v>
      </c>
      <c r="I189" s="4"/>
      <c r="J189" s="4"/>
      <c r="K189" s="4">
        <v>226</v>
      </c>
      <c r="L189" s="4">
        <v>5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06" x14ac:dyDescent="0.2">
      <c r="A190" s="4">
        <v>50</v>
      </c>
      <c r="B190" s="4">
        <v>0</v>
      </c>
      <c r="C190" s="4">
        <v>0</v>
      </c>
      <c r="D190" s="4">
        <v>1</v>
      </c>
      <c r="E190" s="4">
        <v>227</v>
      </c>
      <c r="F190" s="4">
        <f>ROUND(Source!AX183,O190)</f>
        <v>0</v>
      </c>
      <c r="G190" s="4" t="s">
        <v>90</v>
      </c>
      <c r="H190" s="4" t="s">
        <v>91</v>
      </c>
      <c r="I190" s="4"/>
      <c r="J190" s="4"/>
      <c r="K190" s="4">
        <v>227</v>
      </c>
      <c r="L190" s="4">
        <v>6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06" x14ac:dyDescent="0.2">
      <c r="A191" s="4">
        <v>50</v>
      </c>
      <c r="B191" s="4">
        <v>0</v>
      </c>
      <c r="C191" s="4">
        <v>0</v>
      </c>
      <c r="D191" s="4">
        <v>1</v>
      </c>
      <c r="E191" s="4">
        <v>228</v>
      </c>
      <c r="F191" s="4">
        <f>ROUND(Source!AY183,O191)</f>
        <v>554400.54</v>
      </c>
      <c r="G191" s="4" t="s">
        <v>92</v>
      </c>
      <c r="H191" s="4" t="s">
        <v>93</v>
      </c>
      <c r="I191" s="4"/>
      <c r="J191" s="4"/>
      <c r="K191" s="4">
        <v>228</v>
      </c>
      <c r="L191" s="4">
        <v>7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06" x14ac:dyDescent="0.2">
      <c r="A192" s="4">
        <v>50</v>
      </c>
      <c r="B192" s="4">
        <v>0</v>
      </c>
      <c r="C192" s="4">
        <v>0</v>
      </c>
      <c r="D192" s="4">
        <v>1</v>
      </c>
      <c r="E192" s="4">
        <v>216</v>
      </c>
      <c r="F192" s="4">
        <f>ROUND(Source!AP183,O192)</f>
        <v>0</v>
      </c>
      <c r="G192" s="4" t="s">
        <v>94</v>
      </c>
      <c r="H192" s="4" t="s">
        <v>95</v>
      </c>
      <c r="I192" s="4"/>
      <c r="J192" s="4"/>
      <c r="K192" s="4">
        <v>216</v>
      </c>
      <c r="L192" s="4">
        <v>8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223</v>
      </c>
      <c r="F193" s="4">
        <f>ROUND(Source!AQ183,O193)</f>
        <v>0</v>
      </c>
      <c r="G193" s="4" t="s">
        <v>96</v>
      </c>
      <c r="H193" s="4" t="s">
        <v>97</v>
      </c>
      <c r="I193" s="4"/>
      <c r="J193" s="4"/>
      <c r="K193" s="4">
        <v>223</v>
      </c>
      <c r="L193" s="4">
        <v>9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229</v>
      </c>
      <c r="F194" s="4">
        <f>ROUND(Source!AZ183,O194)</f>
        <v>0</v>
      </c>
      <c r="G194" s="4" t="s">
        <v>98</v>
      </c>
      <c r="H194" s="4" t="s">
        <v>99</v>
      </c>
      <c r="I194" s="4"/>
      <c r="J194" s="4"/>
      <c r="K194" s="4">
        <v>229</v>
      </c>
      <c r="L194" s="4">
        <v>10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203</v>
      </c>
      <c r="F195" s="4">
        <f>ROUND(Source!Q183,O195)</f>
        <v>9210.1</v>
      </c>
      <c r="G195" s="4" t="s">
        <v>100</v>
      </c>
      <c r="H195" s="4" t="s">
        <v>101</v>
      </c>
      <c r="I195" s="4"/>
      <c r="J195" s="4"/>
      <c r="K195" s="4">
        <v>203</v>
      </c>
      <c r="L195" s="4">
        <v>11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231</v>
      </c>
      <c r="F196" s="4">
        <f>ROUND(Source!BB183,O196)</f>
        <v>0</v>
      </c>
      <c r="G196" s="4" t="s">
        <v>102</v>
      </c>
      <c r="H196" s="4" t="s">
        <v>103</v>
      </c>
      <c r="I196" s="4"/>
      <c r="J196" s="4"/>
      <c r="K196" s="4">
        <v>231</v>
      </c>
      <c r="L196" s="4">
        <v>12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204</v>
      </c>
      <c r="F197" s="4">
        <f>ROUND(Source!R183,O197)</f>
        <v>4767.54</v>
      </c>
      <c r="G197" s="4" t="s">
        <v>104</v>
      </c>
      <c r="H197" s="4" t="s">
        <v>105</v>
      </c>
      <c r="I197" s="4"/>
      <c r="J197" s="4"/>
      <c r="K197" s="4">
        <v>204</v>
      </c>
      <c r="L197" s="4">
        <v>13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205</v>
      </c>
      <c r="F198" s="4">
        <f>ROUND(Source!S183,O198)</f>
        <v>74577.03</v>
      </c>
      <c r="G198" s="4" t="s">
        <v>106</v>
      </c>
      <c r="H198" s="4" t="s">
        <v>107</v>
      </c>
      <c r="I198" s="4"/>
      <c r="J198" s="4"/>
      <c r="K198" s="4">
        <v>205</v>
      </c>
      <c r="L198" s="4">
        <v>14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232</v>
      </c>
      <c r="F199" s="4">
        <f>ROUND(Source!BC183,O199)</f>
        <v>0</v>
      </c>
      <c r="G199" s="4" t="s">
        <v>108</v>
      </c>
      <c r="H199" s="4" t="s">
        <v>109</v>
      </c>
      <c r="I199" s="4"/>
      <c r="J199" s="4"/>
      <c r="K199" s="4">
        <v>232</v>
      </c>
      <c r="L199" s="4">
        <v>15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214</v>
      </c>
      <c r="F200" s="4">
        <f>ROUND(Source!AS183,O200)</f>
        <v>0</v>
      </c>
      <c r="G200" s="4" t="s">
        <v>110</v>
      </c>
      <c r="H200" s="4" t="s">
        <v>111</v>
      </c>
      <c r="I200" s="4"/>
      <c r="J200" s="4"/>
      <c r="K200" s="4">
        <v>214</v>
      </c>
      <c r="L200" s="4">
        <v>16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215</v>
      </c>
      <c r="F201" s="4">
        <f>ROUND(Source!AT183,O201)</f>
        <v>126204.68</v>
      </c>
      <c r="G201" s="4" t="s">
        <v>112</v>
      </c>
      <c r="H201" s="4" t="s">
        <v>113</v>
      </c>
      <c r="I201" s="4"/>
      <c r="J201" s="4"/>
      <c r="K201" s="4">
        <v>215</v>
      </c>
      <c r="L201" s="4">
        <v>17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217</v>
      </c>
      <c r="F202" s="4">
        <f>ROUND(Source!AU183,O202)</f>
        <v>603847.81999999995</v>
      </c>
      <c r="G202" s="4" t="s">
        <v>114</v>
      </c>
      <c r="H202" s="4" t="s">
        <v>115</v>
      </c>
      <c r="I202" s="4"/>
      <c r="J202" s="4"/>
      <c r="K202" s="4">
        <v>217</v>
      </c>
      <c r="L202" s="4">
        <v>18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230</v>
      </c>
      <c r="F203" s="4">
        <f>ROUND(Source!BA183,O203)</f>
        <v>0</v>
      </c>
      <c r="G203" s="4" t="s">
        <v>116</v>
      </c>
      <c r="H203" s="4" t="s">
        <v>117</v>
      </c>
      <c r="I203" s="4"/>
      <c r="J203" s="4"/>
      <c r="K203" s="4">
        <v>230</v>
      </c>
      <c r="L203" s="4">
        <v>19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206</v>
      </c>
      <c r="F204" s="4">
        <f>ROUND(Source!T183,O204)</f>
        <v>0</v>
      </c>
      <c r="G204" s="4" t="s">
        <v>118</v>
      </c>
      <c r="H204" s="4" t="s">
        <v>119</v>
      </c>
      <c r="I204" s="4"/>
      <c r="J204" s="4"/>
      <c r="K204" s="4">
        <v>206</v>
      </c>
      <c r="L204" s="4">
        <v>20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207</v>
      </c>
      <c r="F205" s="4">
        <f>Source!U183</f>
        <v>212.86999676000002</v>
      </c>
      <c r="G205" s="4" t="s">
        <v>120</v>
      </c>
      <c r="H205" s="4" t="s">
        <v>121</v>
      </c>
      <c r="I205" s="4"/>
      <c r="J205" s="4"/>
      <c r="K205" s="4">
        <v>207</v>
      </c>
      <c r="L205" s="4">
        <v>21</v>
      </c>
      <c r="M205" s="4">
        <v>3</v>
      </c>
      <c r="N205" s="4" t="s">
        <v>3</v>
      </c>
      <c r="O205" s="4">
        <v>-1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208</v>
      </c>
      <c r="F206" s="4">
        <f>Source!V183</f>
        <v>0</v>
      </c>
      <c r="G206" s="4" t="s">
        <v>122</v>
      </c>
      <c r="H206" s="4" t="s">
        <v>123</v>
      </c>
      <c r="I206" s="4"/>
      <c r="J206" s="4"/>
      <c r="K206" s="4">
        <v>208</v>
      </c>
      <c r="L206" s="4">
        <v>22</v>
      </c>
      <c r="M206" s="4">
        <v>3</v>
      </c>
      <c r="N206" s="4" t="s">
        <v>3</v>
      </c>
      <c r="O206" s="4">
        <v>-1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209</v>
      </c>
      <c r="F207" s="4">
        <f>ROUND(Source!W183,O207)</f>
        <v>0</v>
      </c>
      <c r="G207" s="4" t="s">
        <v>124</v>
      </c>
      <c r="H207" s="4" t="s">
        <v>125</v>
      </c>
      <c r="I207" s="4"/>
      <c r="J207" s="4"/>
      <c r="K207" s="4">
        <v>209</v>
      </c>
      <c r="L207" s="4">
        <v>23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233</v>
      </c>
      <c r="F208" s="4">
        <f>ROUND(Source!BD183,O208)</f>
        <v>0</v>
      </c>
      <c r="G208" s="4" t="s">
        <v>126</v>
      </c>
      <c r="H208" s="4" t="s">
        <v>127</v>
      </c>
      <c r="I208" s="4"/>
      <c r="J208" s="4"/>
      <c r="K208" s="4">
        <v>233</v>
      </c>
      <c r="L208" s="4">
        <v>24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40" x14ac:dyDescent="0.2">
      <c r="A209" s="4">
        <v>50</v>
      </c>
      <c r="B209" s="4">
        <v>0</v>
      </c>
      <c r="C209" s="4">
        <v>0</v>
      </c>
      <c r="D209" s="4">
        <v>1</v>
      </c>
      <c r="E209" s="4">
        <v>210</v>
      </c>
      <c r="F209" s="4">
        <f>ROUND(Source!X183,O209)</f>
        <v>53803.19</v>
      </c>
      <c r="G209" s="4" t="s">
        <v>128</v>
      </c>
      <c r="H209" s="4" t="s">
        <v>129</v>
      </c>
      <c r="I209" s="4"/>
      <c r="J209" s="4"/>
      <c r="K209" s="4">
        <v>210</v>
      </c>
      <c r="L209" s="4">
        <v>25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40" x14ac:dyDescent="0.2">
      <c r="A210" s="4">
        <v>50</v>
      </c>
      <c r="B210" s="4">
        <v>0</v>
      </c>
      <c r="C210" s="4">
        <v>0</v>
      </c>
      <c r="D210" s="4">
        <v>1</v>
      </c>
      <c r="E210" s="4">
        <v>211</v>
      </c>
      <c r="F210" s="4">
        <f>ROUND(Source!Y183,O210)</f>
        <v>30576.6</v>
      </c>
      <c r="G210" s="4" t="s">
        <v>130</v>
      </c>
      <c r="H210" s="4" t="s">
        <v>131</v>
      </c>
      <c r="I210" s="4"/>
      <c r="J210" s="4"/>
      <c r="K210" s="4">
        <v>211</v>
      </c>
      <c r="L210" s="4">
        <v>26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40" x14ac:dyDescent="0.2">
      <c r="A211" s="4">
        <v>50</v>
      </c>
      <c r="B211" s="4">
        <v>0</v>
      </c>
      <c r="C211" s="4">
        <v>0</v>
      </c>
      <c r="D211" s="4">
        <v>1</v>
      </c>
      <c r="E211" s="4">
        <v>224</v>
      </c>
      <c r="F211" s="4">
        <f>ROUND(Source!AR183,O211)</f>
        <v>730052.5</v>
      </c>
      <c r="G211" s="4" t="s">
        <v>132</v>
      </c>
      <c r="H211" s="4" t="s">
        <v>133</v>
      </c>
      <c r="I211" s="4"/>
      <c r="J211" s="4"/>
      <c r="K211" s="4">
        <v>224</v>
      </c>
      <c r="L211" s="4">
        <v>27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40" x14ac:dyDescent="0.2">
      <c r="A212" s="4">
        <v>50</v>
      </c>
      <c r="B212" s="4">
        <v>1</v>
      </c>
      <c r="C212" s="4">
        <v>0</v>
      </c>
      <c r="D212" s="4">
        <v>2</v>
      </c>
      <c r="E212" s="4">
        <v>0</v>
      </c>
      <c r="F212" s="4">
        <f>ROUND(F211,O212)</f>
        <v>730052.5</v>
      </c>
      <c r="G212" s="4" t="s">
        <v>209</v>
      </c>
      <c r="H212" s="4" t="s">
        <v>209</v>
      </c>
      <c r="I212" s="4"/>
      <c r="J212" s="4"/>
      <c r="K212" s="4">
        <v>212</v>
      </c>
      <c r="L212" s="4">
        <v>28</v>
      </c>
      <c r="M212" s="4">
        <v>0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40" x14ac:dyDescent="0.2">
      <c r="A213" s="4">
        <v>50</v>
      </c>
      <c r="B213" s="4">
        <v>1</v>
      </c>
      <c r="C213" s="4">
        <v>0</v>
      </c>
      <c r="D213" s="4">
        <v>2</v>
      </c>
      <c r="E213" s="4">
        <v>0</v>
      </c>
      <c r="F213" s="4">
        <f>ROUND(F212*0.2,O213)</f>
        <v>146010.5</v>
      </c>
      <c r="G213" s="4" t="s">
        <v>210</v>
      </c>
      <c r="H213" s="4" t="s">
        <v>211</v>
      </c>
      <c r="I213" s="4"/>
      <c r="J213" s="4"/>
      <c r="K213" s="4">
        <v>212</v>
      </c>
      <c r="L213" s="4">
        <v>29</v>
      </c>
      <c r="M213" s="4">
        <v>0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40" x14ac:dyDescent="0.2">
      <c r="A214" s="4">
        <v>50</v>
      </c>
      <c r="B214" s="4">
        <v>1</v>
      </c>
      <c r="C214" s="4">
        <v>0</v>
      </c>
      <c r="D214" s="4">
        <v>2</v>
      </c>
      <c r="E214" s="4">
        <v>213</v>
      </c>
      <c r="F214" s="4">
        <f>ROUND(ROUND(F212+F213,2),O214)</f>
        <v>876063</v>
      </c>
      <c r="G214" s="4" t="s">
        <v>212</v>
      </c>
      <c r="H214" s="4" t="s">
        <v>212</v>
      </c>
      <c r="I214" s="4"/>
      <c r="J214" s="4"/>
      <c r="K214" s="4">
        <v>212</v>
      </c>
      <c r="L214" s="4">
        <v>30</v>
      </c>
      <c r="M214" s="4">
        <v>0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7" spans="1:40" x14ac:dyDescent="0.2">
      <c r="A217">
        <v>-1</v>
      </c>
    </row>
    <row r="219" spans="1:40" x14ac:dyDescent="0.2">
      <c r="A219" s="3">
        <v>75</v>
      </c>
      <c r="B219" s="3" t="s">
        <v>213</v>
      </c>
      <c r="C219" s="3">
        <v>2020</v>
      </c>
      <c r="D219" s="3">
        <v>0</v>
      </c>
      <c r="E219" s="3">
        <v>12</v>
      </c>
      <c r="F219" s="3"/>
      <c r="G219" s="3">
        <v>0</v>
      </c>
      <c r="H219" s="3">
        <v>2</v>
      </c>
      <c r="I219" s="3">
        <v>1</v>
      </c>
      <c r="J219" s="3">
        <v>1</v>
      </c>
      <c r="K219" s="3">
        <v>93</v>
      </c>
      <c r="L219" s="3">
        <v>64</v>
      </c>
      <c r="M219" s="3">
        <v>0</v>
      </c>
      <c r="N219" s="3">
        <v>23645517</v>
      </c>
      <c r="O219" s="3">
        <v>1</v>
      </c>
    </row>
    <row r="220" spans="1:40" x14ac:dyDescent="0.2">
      <c r="A220" s="5">
        <v>1</v>
      </c>
      <c r="B220" s="5" t="s">
        <v>214</v>
      </c>
      <c r="C220" s="5" t="s">
        <v>215</v>
      </c>
      <c r="D220" s="5">
        <v>2020</v>
      </c>
      <c r="E220" s="5">
        <v>12</v>
      </c>
      <c r="F220" s="5">
        <v>1</v>
      </c>
      <c r="G220" s="5">
        <v>1</v>
      </c>
      <c r="H220" s="5">
        <v>0</v>
      </c>
      <c r="I220" s="5">
        <v>2</v>
      </c>
      <c r="J220" s="5">
        <v>1</v>
      </c>
      <c r="K220" s="5">
        <v>1</v>
      </c>
      <c r="L220" s="5">
        <v>1</v>
      </c>
      <c r="M220" s="5">
        <v>1</v>
      </c>
      <c r="N220" s="5">
        <v>1</v>
      </c>
      <c r="O220" s="5">
        <v>1</v>
      </c>
      <c r="P220" s="5">
        <v>1</v>
      </c>
      <c r="Q220" s="5">
        <v>1</v>
      </c>
      <c r="R220" s="5" t="s">
        <v>3</v>
      </c>
      <c r="S220" s="5" t="s">
        <v>3</v>
      </c>
      <c r="T220" s="5" t="s">
        <v>3</v>
      </c>
      <c r="U220" s="5" t="s">
        <v>3</v>
      </c>
      <c r="V220" s="5" t="s">
        <v>3</v>
      </c>
      <c r="W220" s="5" t="s">
        <v>3</v>
      </c>
      <c r="X220" s="5" t="s">
        <v>3</v>
      </c>
      <c r="Y220" s="5" t="s">
        <v>3</v>
      </c>
      <c r="Z220" s="5" t="s">
        <v>3</v>
      </c>
      <c r="AA220" s="5" t="s">
        <v>216</v>
      </c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>
        <v>23645518</v>
      </c>
    </row>
    <row r="224" spans="1:40" x14ac:dyDescent="0.2">
      <c r="A224">
        <v>65</v>
      </c>
      <c r="C224">
        <v>1</v>
      </c>
      <c r="D224">
        <v>0</v>
      </c>
      <c r="E22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217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23645517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(Source!F170)/1000</f>
        <v>0</v>
      </c>
      <c r="F16" s="7">
        <f>(Source!F171)/1000</f>
        <v>126.20468</v>
      </c>
      <c r="G16" s="7">
        <f>(Source!F162)/1000</f>
        <v>0</v>
      </c>
      <c r="H16" s="7">
        <f>(Source!F172)/1000+(Source!F173)/1000</f>
        <v>603.84781999999996</v>
      </c>
      <c r="I16" s="7">
        <f>E16+F16+G16+H16</f>
        <v>730.05250000000001</v>
      </c>
      <c r="J16" s="7">
        <f>(Source!F168)/1000</f>
        <v>74.577029999999993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638187.67000000004</v>
      </c>
      <c r="AU16" s="7">
        <v>554400.54</v>
      </c>
      <c r="AV16" s="7">
        <v>0</v>
      </c>
      <c r="AW16" s="7">
        <v>0</v>
      </c>
      <c r="AX16" s="7">
        <v>0</v>
      </c>
      <c r="AY16" s="7">
        <v>9210.1</v>
      </c>
      <c r="AZ16" s="7">
        <v>4767.54</v>
      </c>
      <c r="BA16" s="7">
        <v>74577.03</v>
      </c>
      <c r="BB16" s="7">
        <v>0</v>
      </c>
      <c r="BC16" s="7">
        <v>126204.68</v>
      </c>
      <c r="BD16" s="7">
        <v>603847.81999999995</v>
      </c>
      <c r="BE16" s="7">
        <v>0</v>
      </c>
      <c r="BF16" s="7">
        <v>212.86999675999996</v>
      </c>
      <c r="BG16" s="7">
        <v>0</v>
      </c>
      <c r="BH16" s="7">
        <v>0</v>
      </c>
      <c r="BI16" s="7">
        <v>53803.19</v>
      </c>
      <c r="BJ16" s="7">
        <v>30576.6</v>
      </c>
      <c r="BK16" s="7">
        <v>730052.5</v>
      </c>
    </row>
    <row r="18" spans="1:19" x14ac:dyDescent="0.2">
      <c r="A18">
        <v>51</v>
      </c>
      <c r="E18" s="8">
        <f>SUMIF(A16:A17,3,E16:E17)</f>
        <v>0</v>
      </c>
      <c r="F18" s="8">
        <f>SUMIF(A16:A17,3,F16:F17)</f>
        <v>126.20468</v>
      </c>
      <c r="G18" s="8">
        <f>SUMIF(A16:A17,3,G16:G17)</f>
        <v>0</v>
      </c>
      <c r="H18" s="8">
        <f>SUMIF(A16:A17,3,H16:H17)</f>
        <v>603.84781999999996</v>
      </c>
      <c r="I18" s="8">
        <f>SUMIF(A16:A17,3,I16:I17)</f>
        <v>730.05250000000001</v>
      </c>
      <c r="J18" s="8">
        <f>SUMIF(A16:A17,3,J16:J17)</f>
        <v>74.577029999999993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638187.67000000004</v>
      </c>
      <c r="G20" s="4" t="s">
        <v>80</v>
      </c>
      <c r="H20" s="4" t="s">
        <v>81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554400.54</v>
      </c>
      <c r="G21" s="4" t="s">
        <v>82</v>
      </c>
      <c r="H21" s="4" t="s">
        <v>83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84</v>
      </c>
      <c r="H22" s="4" t="s">
        <v>85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554400.54</v>
      </c>
      <c r="G23" s="4" t="s">
        <v>86</v>
      </c>
      <c r="H23" s="4" t="s">
        <v>87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554400.54</v>
      </c>
      <c r="G24" s="4" t="s">
        <v>88</v>
      </c>
      <c r="H24" s="4" t="s">
        <v>89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90</v>
      </c>
      <c r="H25" s="4" t="s">
        <v>91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554400.54</v>
      </c>
      <c r="G26" s="4" t="s">
        <v>92</v>
      </c>
      <c r="H26" s="4" t="s">
        <v>93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94</v>
      </c>
      <c r="H27" s="4" t="s">
        <v>95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96</v>
      </c>
      <c r="H28" s="4" t="s">
        <v>97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98</v>
      </c>
      <c r="H29" s="4" t="s">
        <v>99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9210.1</v>
      </c>
      <c r="G30" s="4" t="s">
        <v>100</v>
      </c>
      <c r="H30" s="4" t="s">
        <v>101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102</v>
      </c>
      <c r="H31" s="4" t="s">
        <v>103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4767.54</v>
      </c>
      <c r="G32" s="4" t="s">
        <v>104</v>
      </c>
      <c r="H32" s="4" t="s">
        <v>105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74577.03</v>
      </c>
      <c r="G33" s="4" t="s">
        <v>106</v>
      </c>
      <c r="H33" s="4" t="s">
        <v>107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108</v>
      </c>
      <c r="H34" s="4" t="s">
        <v>109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110</v>
      </c>
      <c r="H35" s="4" t="s">
        <v>111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126204.68</v>
      </c>
      <c r="G36" s="4" t="s">
        <v>112</v>
      </c>
      <c r="H36" s="4" t="s">
        <v>113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603847.81999999995</v>
      </c>
      <c r="G37" s="4" t="s">
        <v>114</v>
      </c>
      <c r="H37" s="4" t="s">
        <v>115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116</v>
      </c>
      <c r="H38" s="4" t="s">
        <v>117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118</v>
      </c>
      <c r="H39" s="4" t="s">
        <v>119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212.86999675999996</v>
      </c>
      <c r="G40" s="4" t="s">
        <v>120</v>
      </c>
      <c r="H40" s="4" t="s">
        <v>121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122</v>
      </c>
      <c r="H41" s="4" t="s">
        <v>123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124</v>
      </c>
      <c r="H42" s="4" t="s">
        <v>125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126</v>
      </c>
      <c r="H43" s="4" t="s">
        <v>127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53803.19</v>
      </c>
      <c r="G44" s="4" t="s">
        <v>128</v>
      </c>
      <c r="H44" s="4" t="s">
        <v>129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30576.6</v>
      </c>
      <c r="G45" s="4" t="s">
        <v>130</v>
      </c>
      <c r="H45" s="4" t="s">
        <v>131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730052.5</v>
      </c>
      <c r="G46" s="4" t="s">
        <v>132</v>
      </c>
      <c r="H46" s="4" t="s">
        <v>133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730052.5</v>
      </c>
      <c r="G47" s="4" t="s">
        <v>209</v>
      </c>
      <c r="H47" s="4" t="s">
        <v>209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146010.5</v>
      </c>
      <c r="G48" s="4" t="s">
        <v>210</v>
      </c>
      <c r="H48" s="4" t="s">
        <v>211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876063</v>
      </c>
      <c r="G49" s="4" t="s">
        <v>212</v>
      </c>
      <c r="H49" s="4" t="s">
        <v>212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213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23645517</v>
      </c>
      <c r="O54" s="3">
        <v>1</v>
      </c>
    </row>
    <row r="55" spans="1:40" x14ac:dyDescent="0.2">
      <c r="A55" s="5">
        <v>1</v>
      </c>
      <c r="B55" s="5" t="s">
        <v>214</v>
      </c>
      <c r="C55" s="5" t="s">
        <v>215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216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23645518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ROW(Source!A34)</f>
        <v>34</v>
      </c>
      <c r="B1">
        <v>23645517</v>
      </c>
      <c r="C1">
        <v>23646089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218</v>
      </c>
      <c r="J1" t="s">
        <v>3</v>
      </c>
      <c r="K1" t="s">
        <v>219</v>
      </c>
      <c r="L1">
        <v>1191</v>
      </c>
      <c r="N1">
        <v>1013</v>
      </c>
      <c r="O1" t="s">
        <v>220</v>
      </c>
      <c r="P1" t="s">
        <v>220</v>
      </c>
      <c r="Q1">
        <v>1</v>
      </c>
      <c r="W1">
        <v>0</v>
      </c>
      <c r="X1">
        <v>946207192</v>
      </c>
      <c r="Y1">
        <v>2.5099999999999998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2.5099999999999998</v>
      </c>
      <c r="AU1" t="s">
        <v>3</v>
      </c>
      <c r="AV1">
        <v>1</v>
      </c>
      <c r="AW1">
        <v>2</v>
      </c>
      <c r="AX1">
        <v>23646090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Y1*Source!I34</f>
        <v>25.099999999999998</v>
      </c>
      <c r="CY1">
        <f>AD1</f>
        <v>0</v>
      </c>
      <c r="CZ1">
        <f>AH1</f>
        <v>0</v>
      </c>
      <c r="DA1">
        <f>AL1</f>
        <v>1</v>
      </c>
      <c r="DB1">
        <f>ROUND(ROUND(AT1*CZ1,2),6)</f>
        <v>0</v>
      </c>
      <c r="DC1">
        <f>ROUND(ROUND(AT1*AG1,2),6)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ROW(Source!A34)</f>
        <v>34</v>
      </c>
      <c r="B1">
        <v>23646090</v>
      </c>
      <c r="C1">
        <v>23646089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218</v>
      </c>
      <c r="J1" t="s">
        <v>3</v>
      </c>
      <c r="K1" t="s">
        <v>219</v>
      </c>
      <c r="L1">
        <v>1191</v>
      </c>
      <c r="N1">
        <v>1013</v>
      </c>
      <c r="O1" t="s">
        <v>220</v>
      </c>
      <c r="P1" t="s">
        <v>220</v>
      </c>
      <c r="Q1">
        <v>1</v>
      </c>
      <c r="X1">
        <v>2.5099999999999998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2.5099999999999998</v>
      </c>
      <c r="AH1">
        <v>2</v>
      </c>
      <c r="AI1">
        <v>23646090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2021-08-19T12:57:45Z</dcterms:created>
  <dcterms:modified xsi:type="dcterms:W3CDTF">2021-08-19T13:00:02Z</dcterms:modified>
</cp:coreProperties>
</file>